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esktop\Lavoro\CONSULENZA\CLIENTI\Comune di Apecchio\BP Apecchio\New Fedeli\"/>
    </mc:Choice>
  </mc:AlternateContent>
  <xr:revisionPtr revIDLastSave="0" documentId="13_ncr:1_{56DFB0B6-10EF-4CBD-BA61-4002576E2DE1}" xr6:coauthVersionLast="36" xr6:coauthVersionMax="36" xr10:uidLastSave="{00000000-0000-0000-0000-000000000000}"/>
  <bookViews>
    <workbookView xWindow="0" yWindow="0" windowWidth="20490" windowHeight="7545" tabRatio="741" xr2:uid="{00000000-000D-0000-FFFF-FFFF00000000}"/>
  </bookViews>
  <sheets>
    <sheet name="SCENARIO_AS_IS" sheetId="5" r:id="rId1"/>
    <sheet name="INVESTITORE" sheetId="6" r:id="rId2"/>
    <sheet name="SCENARIO_RIDUZIONE_20%" sheetId="7" r:id="rId3"/>
    <sheet name="SCENARIO_RIDUZIONE_80%" sheetId="10" r:id="rId4"/>
    <sheet name="SCENARIO_REVOCA" sheetId="9" r:id="rId5"/>
  </sheets>
  <externalReferences>
    <externalReference r:id="rId6"/>
  </externalReferences>
  <definedNames>
    <definedName name="_xlnm.Print_Area" localSheetId="1">INVESTITORE!$B$1:$Q$36</definedName>
    <definedName name="_xlnm.Print_Area" localSheetId="0">SCENARIO_AS_IS!$B$18:$E$32</definedName>
    <definedName name="Durata_in_anni" localSheetId="1">#REF!</definedName>
    <definedName name="Durata_in_anni">#REF!</definedName>
    <definedName name="Pagam_da_usare">'[1]Piano ammortamento Mutuo'!$C$28</definedName>
    <definedName name="Pagam_per_anno" localSheetId="1">#REF!</definedName>
    <definedName name="Pagam_per_anno">#REF!</definedName>
    <definedName name="Tasso_inter_annuale" localSheetId="1">#REF!</definedName>
    <definedName name="Tasso_inter_annuale">#REF!</definedName>
    <definedName name="Tasso_periodico" localSheetId="1">INVESTITORE!Tasso_inter_annuale/INVESTITORE!Pagam_per_anno</definedName>
    <definedName name="Tasso_periodico">[0]!Tasso_inter_annuale/[0]!Pagam_per_anno</definedName>
    <definedName name="Totale_pagam" localSheetId="1">#N/A</definedName>
    <definedName name="Totale_pagam">[0]!Pagam_per_anno*[1]!Durata_in_anni</definedName>
    <definedName name="VBAdvanced.VB_Branch_Example">'[1]Piano ammortamento Mutuo'!VBAdvanced.VB_Branch_Example</definedName>
    <definedName name="VBAdvanced.VB_GetWindowsDirectory">'[1]Piano ammortamento Mutuo'!VBAdvanced.VB_GetWindowsDirectory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9" i="5" l="1"/>
  <c r="H9" i="6" l="1"/>
  <c r="L9" i="6" l="1"/>
  <c r="O9" i="6"/>
  <c r="N9" i="6"/>
  <c r="E9" i="6"/>
  <c r="J9" i="6"/>
  <c r="G9" i="6"/>
  <c r="F9" i="6"/>
  <c r="M9" i="6"/>
  <c r="K9" i="6"/>
  <c r="Q9" i="6"/>
  <c r="I9" i="6"/>
  <c r="P9" i="6"/>
  <c r="L36" i="5" l="1"/>
  <c r="F36" i="5"/>
  <c r="G36" i="5"/>
  <c r="H36" i="5"/>
  <c r="I36" i="5"/>
  <c r="J36" i="5"/>
  <c r="K36" i="5"/>
  <c r="E36" i="5"/>
  <c r="F29" i="5" l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C49" i="5"/>
  <c r="G37" i="10"/>
  <c r="H37" i="10" s="1"/>
  <c r="I37" i="10" s="1"/>
  <c r="J37" i="10" s="1"/>
  <c r="K37" i="10" s="1"/>
  <c r="L37" i="10" s="1"/>
  <c r="M37" i="10" s="1"/>
  <c r="N37" i="10" s="1"/>
  <c r="O37" i="10" s="1"/>
  <c r="P37" i="10" s="1"/>
  <c r="Q37" i="10" s="1"/>
  <c r="L36" i="10"/>
  <c r="K36" i="10"/>
  <c r="J36" i="10"/>
  <c r="I36" i="10"/>
  <c r="H36" i="10"/>
  <c r="G36" i="10"/>
  <c r="F36" i="10"/>
  <c r="E31" i="10"/>
  <c r="F31" i="10" s="1"/>
  <c r="G31" i="10" s="1"/>
  <c r="H31" i="10" s="1"/>
  <c r="I31" i="10" s="1"/>
  <c r="J31" i="10" s="1"/>
  <c r="K31" i="10" s="1"/>
  <c r="L31" i="10" s="1"/>
  <c r="M31" i="10" s="1"/>
  <c r="N31" i="10" s="1"/>
  <c r="O31" i="10" s="1"/>
  <c r="P31" i="10" s="1"/>
  <c r="Q31" i="10" s="1"/>
  <c r="E30" i="10"/>
  <c r="E29" i="10"/>
  <c r="E28" i="10"/>
  <c r="E27" i="10"/>
  <c r="E26" i="10"/>
  <c r="E25" i="10"/>
  <c r="D23" i="10"/>
  <c r="E23" i="10" s="1"/>
  <c r="F23" i="10" s="1"/>
  <c r="G23" i="10" s="1"/>
  <c r="H23" i="10" s="1"/>
  <c r="I23" i="10" s="1"/>
  <c r="E22" i="10"/>
  <c r="E21" i="10"/>
  <c r="E20" i="10"/>
  <c r="E19" i="10"/>
  <c r="C18" i="10"/>
  <c r="E15" i="10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D11" i="10"/>
  <c r="D9" i="10"/>
  <c r="E8" i="10"/>
  <c r="E7" i="10"/>
  <c r="F5" i="10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C2" i="10"/>
  <c r="E26" i="7"/>
  <c r="E27" i="7"/>
  <c r="E28" i="7"/>
  <c r="E29" i="7"/>
  <c r="E30" i="7"/>
  <c r="E31" i="7"/>
  <c r="E25" i="7"/>
  <c r="C2" i="7"/>
  <c r="D23" i="7"/>
  <c r="E20" i="7"/>
  <c r="E21" i="7"/>
  <c r="E22" i="7"/>
  <c r="E19" i="7"/>
  <c r="C18" i="7"/>
  <c r="D11" i="7"/>
  <c r="E8" i="7"/>
  <c r="D9" i="7"/>
  <c r="E7" i="7"/>
  <c r="E15" i="7"/>
  <c r="F52" i="5"/>
  <c r="K3" i="9"/>
  <c r="D3" i="9" s="1"/>
  <c r="B3" i="9" s="1"/>
  <c r="D10" i="5"/>
  <c r="D10" i="10" l="1"/>
  <c r="Q10" i="5"/>
  <c r="F29" i="7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F29" i="10"/>
  <c r="G29" i="10" s="1"/>
  <c r="H29" i="10" s="1"/>
  <c r="I29" i="10" s="1"/>
  <c r="J29" i="10" s="1"/>
  <c r="K29" i="10" s="1"/>
  <c r="L29" i="10" s="1"/>
  <c r="M29" i="10" s="1"/>
  <c r="N29" i="10" s="1"/>
  <c r="O29" i="10" s="1"/>
  <c r="P29" i="10" s="1"/>
  <c r="Q29" i="10" s="1"/>
  <c r="D10" i="7"/>
  <c r="F22" i="10"/>
  <c r="G22" i="10" s="1"/>
  <c r="H22" i="10" s="1"/>
  <c r="I22" i="10" s="1"/>
  <c r="J22" i="10" s="1"/>
  <c r="K22" i="10" s="1"/>
  <c r="L22" i="10" s="1"/>
  <c r="M22" i="10" s="1"/>
  <c r="N22" i="10" s="1"/>
  <c r="O22" i="10" s="1"/>
  <c r="P22" i="10" s="1"/>
  <c r="Q22" i="10" s="1"/>
  <c r="F28" i="10"/>
  <c r="G28" i="10" s="1"/>
  <c r="H28" i="10" s="1"/>
  <c r="I28" i="10" s="1"/>
  <c r="J28" i="10" s="1"/>
  <c r="K28" i="10" s="1"/>
  <c r="L28" i="10" s="1"/>
  <c r="M28" i="10" s="1"/>
  <c r="N28" i="10" s="1"/>
  <c r="O28" i="10" s="1"/>
  <c r="P28" i="10" s="1"/>
  <c r="Q28" i="10" s="1"/>
  <c r="F30" i="10"/>
  <c r="G30" i="10" s="1"/>
  <c r="H30" i="10" s="1"/>
  <c r="I30" i="10" s="1"/>
  <c r="J30" i="10" s="1"/>
  <c r="K30" i="10" s="1"/>
  <c r="L30" i="10" s="1"/>
  <c r="M30" i="10" s="1"/>
  <c r="N30" i="10" s="1"/>
  <c r="O30" i="10" s="1"/>
  <c r="P30" i="10" s="1"/>
  <c r="Q30" i="10" s="1"/>
  <c r="F27" i="10"/>
  <c r="G27" i="10" s="1"/>
  <c r="H27" i="10" s="1"/>
  <c r="I27" i="10" s="1"/>
  <c r="J27" i="10" s="1"/>
  <c r="K27" i="10" s="1"/>
  <c r="L27" i="10" s="1"/>
  <c r="M27" i="10" s="1"/>
  <c r="N27" i="10" s="1"/>
  <c r="O27" i="10" s="1"/>
  <c r="P27" i="10" s="1"/>
  <c r="Q27" i="10" s="1"/>
  <c r="F26" i="10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F19" i="10"/>
  <c r="F25" i="10"/>
  <c r="G25" i="10" s="1"/>
  <c r="H25" i="10" s="1"/>
  <c r="I25" i="10" s="1"/>
  <c r="J25" i="10" s="1"/>
  <c r="K25" i="10" s="1"/>
  <c r="L25" i="10" s="1"/>
  <c r="M25" i="10" s="1"/>
  <c r="N25" i="10" s="1"/>
  <c r="O25" i="10" s="1"/>
  <c r="P25" i="10" s="1"/>
  <c r="Q25" i="10" s="1"/>
  <c r="F20" i="10"/>
  <c r="G20" i="10" s="1"/>
  <c r="H20" i="10" s="1"/>
  <c r="I20" i="10" s="1"/>
  <c r="J20" i="10" s="1"/>
  <c r="K20" i="10" s="1"/>
  <c r="L20" i="10" s="1"/>
  <c r="M20" i="10" s="1"/>
  <c r="N20" i="10" s="1"/>
  <c r="O20" i="10" s="1"/>
  <c r="P20" i="10" s="1"/>
  <c r="Q20" i="10" s="1"/>
  <c r="F21" i="10"/>
  <c r="G21" i="10" s="1"/>
  <c r="H21" i="10" s="1"/>
  <c r="I21" i="10" s="1"/>
  <c r="J21" i="10" s="1"/>
  <c r="K21" i="10" s="1"/>
  <c r="L21" i="10" s="1"/>
  <c r="M21" i="10" s="1"/>
  <c r="N21" i="10" s="1"/>
  <c r="O21" i="10" s="1"/>
  <c r="P21" i="10" s="1"/>
  <c r="Q21" i="10" s="1"/>
  <c r="G19" i="10" l="1"/>
  <c r="G37" i="7"/>
  <c r="H37" i="7" s="1"/>
  <c r="I37" i="7" s="1"/>
  <c r="J37" i="7" s="1"/>
  <c r="K37" i="7" s="1"/>
  <c r="L37" i="7" s="1"/>
  <c r="M37" i="7" s="1"/>
  <c r="N37" i="7" s="1"/>
  <c r="O37" i="7" s="1"/>
  <c r="P37" i="7" s="1"/>
  <c r="Q37" i="7" s="1"/>
  <c r="L36" i="7"/>
  <c r="K36" i="7"/>
  <c r="J36" i="7"/>
  <c r="I36" i="7"/>
  <c r="H36" i="7"/>
  <c r="G36" i="7"/>
  <c r="F36" i="7"/>
  <c r="F31" i="7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F30" i="7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F28" i="7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F27" i="7"/>
  <c r="G27" i="7" s="1"/>
  <c r="H27" i="7" s="1"/>
  <c r="I27" i="7" s="1"/>
  <c r="J27" i="7" s="1"/>
  <c r="K27" i="7" s="1"/>
  <c r="L27" i="7" s="1"/>
  <c r="M27" i="7" s="1"/>
  <c r="N27" i="7" s="1"/>
  <c r="O27" i="7" s="1"/>
  <c r="P27" i="7" s="1"/>
  <c r="Q27" i="7" s="1"/>
  <c r="F26" i="7"/>
  <c r="G26" i="7" s="1"/>
  <c r="H26" i="7" s="1"/>
  <c r="I26" i="7" s="1"/>
  <c r="J26" i="7" s="1"/>
  <c r="K26" i="7" s="1"/>
  <c r="L26" i="7" s="1"/>
  <c r="M26" i="7" s="1"/>
  <c r="N26" i="7" s="1"/>
  <c r="O26" i="7" s="1"/>
  <c r="P26" i="7" s="1"/>
  <c r="Q26" i="7" s="1"/>
  <c r="F25" i="7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E23" i="7"/>
  <c r="F23" i="7" s="1"/>
  <c r="G23" i="7" s="1"/>
  <c r="H23" i="7" s="1"/>
  <c r="I23" i="7" s="1"/>
  <c r="F22" i="7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F21" i="7"/>
  <c r="F20" i="7"/>
  <c r="G20" i="7" s="1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F19" i="7"/>
  <c r="G19" i="7" s="1"/>
  <c r="F15" i="7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F5" i="7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H19" i="10" l="1"/>
  <c r="G21" i="7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H19" i="7"/>
  <c r="G10" i="5"/>
  <c r="J10" i="5"/>
  <c r="N10" i="5"/>
  <c r="F10" i="5"/>
  <c r="M10" i="5"/>
  <c r="I10" i="5"/>
  <c r="P10" i="5"/>
  <c r="L10" i="5"/>
  <c r="H10" i="5"/>
  <c r="E10" i="5"/>
  <c r="O10" i="5"/>
  <c r="K10" i="5"/>
  <c r="F21" i="6"/>
  <c r="G21" i="6" s="1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J10" i="7" l="1"/>
  <c r="J10" i="10"/>
  <c r="K10" i="10"/>
  <c r="K10" i="7"/>
  <c r="Q10" i="7"/>
  <c r="Q10" i="10"/>
  <c r="G9" i="5"/>
  <c r="G10" i="10"/>
  <c r="G10" i="7"/>
  <c r="M10" i="7"/>
  <c r="M10" i="10"/>
  <c r="L10" i="10"/>
  <c r="L10" i="7"/>
  <c r="O10" i="10"/>
  <c r="O10" i="7"/>
  <c r="P10" i="10"/>
  <c r="P10" i="7"/>
  <c r="F10" i="7"/>
  <c r="F10" i="10"/>
  <c r="H10" i="10"/>
  <c r="H10" i="7"/>
  <c r="E10" i="7"/>
  <c r="E2" i="5"/>
  <c r="E1" i="5"/>
  <c r="E10" i="10"/>
  <c r="I10" i="7"/>
  <c r="I10" i="10"/>
  <c r="N10" i="7"/>
  <c r="N10" i="10"/>
  <c r="I19" i="10"/>
  <c r="E2" i="7"/>
  <c r="I19" i="7"/>
  <c r="D24" i="5"/>
  <c r="G9" i="7" l="1"/>
  <c r="G9" i="10"/>
  <c r="D24" i="10"/>
  <c r="D24" i="7"/>
  <c r="E2" i="10"/>
  <c r="J19" i="10"/>
  <c r="J19" i="7"/>
  <c r="E23" i="5"/>
  <c r="F23" i="5" s="1"/>
  <c r="G23" i="5" s="1"/>
  <c r="H23" i="5" s="1"/>
  <c r="F31" i="5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Q31" i="5" s="1"/>
  <c r="F21" i="5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F22" i="5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F15" i="5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K19" i="10" l="1"/>
  <c r="K19" i="7"/>
  <c r="B4" i="9" l="1"/>
  <c r="B5" i="9" s="1"/>
  <c r="G51" i="5" s="1"/>
  <c r="E36" i="7"/>
  <c r="B7" i="9"/>
  <c r="B8" i="9" s="1"/>
  <c r="E36" i="10"/>
  <c r="L19" i="10"/>
  <c r="L19" i="7"/>
  <c r="E14" i="5"/>
  <c r="E16" i="5" s="1"/>
  <c r="E24" i="5" l="1"/>
  <c r="E5" i="6"/>
  <c r="M19" i="10"/>
  <c r="M19" i="7"/>
  <c r="N19" i="10" l="1"/>
  <c r="N19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F3" i="6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O19" i="10" l="1"/>
  <c r="O19" i="7"/>
  <c r="G37" i="5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F30" i="5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F28" i="5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F27" i="5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F26" i="5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F25" i="5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F20" i="5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F19" i="5"/>
  <c r="F8" i="5"/>
  <c r="F7" i="5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F7" i="7" l="1"/>
  <c r="F7" i="10"/>
  <c r="F8" i="7"/>
  <c r="F8" i="10"/>
  <c r="P19" i="10"/>
  <c r="G7" i="5"/>
  <c r="G8" i="5"/>
  <c r="P19" i="7"/>
  <c r="E32" i="5"/>
  <c r="E7" i="6" s="1"/>
  <c r="E9" i="5"/>
  <c r="E11" i="5"/>
  <c r="F14" i="5"/>
  <c r="F16" i="5" s="1"/>
  <c r="F5" i="6" s="1"/>
  <c r="G19" i="5"/>
  <c r="E11" i="10" l="1"/>
  <c r="E11" i="7"/>
  <c r="H7" i="5"/>
  <c r="G7" i="10"/>
  <c r="G7" i="7"/>
  <c r="E9" i="10"/>
  <c r="E9" i="7"/>
  <c r="H8" i="5"/>
  <c r="G8" i="10"/>
  <c r="G8" i="7"/>
  <c r="Q19" i="10"/>
  <c r="Q19" i="7"/>
  <c r="E34" i="5"/>
  <c r="E39" i="5" s="1"/>
  <c r="H19" i="5"/>
  <c r="F11" i="5"/>
  <c r="F9" i="5"/>
  <c r="G14" i="5"/>
  <c r="G16" i="5" s="1"/>
  <c r="G5" i="6" s="1"/>
  <c r="I7" i="5" l="1"/>
  <c r="H7" i="10"/>
  <c r="H7" i="7"/>
  <c r="F9" i="10"/>
  <c r="F9" i="7"/>
  <c r="I8" i="5"/>
  <c r="H8" i="10"/>
  <c r="H8" i="7"/>
  <c r="F11" i="10"/>
  <c r="F11" i="7"/>
  <c r="F24" i="5"/>
  <c r="F32" i="5" s="1"/>
  <c r="F7" i="6" s="1"/>
  <c r="E41" i="5"/>
  <c r="E42" i="5"/>
  <c r="I19" i="5"/>
  <c r="H14" i="5"/>
  <c r="H16" i="5" s="1"/>
  <c r="H5" i="6" s="1"/>
  <c r="G11" i="5"/>
  <c r="J8" i="5" l="1"/>
  <c r="I8" i="7"/>
  <c r="I8" i="10"/>
  <c r="G11" i="7"/>
  <c r="G11" i="10"/>
  <c r="J7" i="5"/>
  <c r="I7" i="10"/>
  <c r="I7" i="7"/>
  <c r="G24" i="5"/>
  <c r="G32" i="5" s="1"/>
  <c r="G7" i="6" s="1"/>
  <c r="F34" i="5"/>
  <c r="F39" i="5" s="1"/>
  <c r="F42" i="5" s="1"/>
  <c r="E44" i="5"/>
  <c r="E46" i="5" s="1"/>
  <c r="H11" i="5"/>
  <c r="H9" i="5"/>
  <c r="J19" i="5"/>
  <c r="I14" i="5"/>
  <c r="H9" i="7" l="1"/>
  <c r="H9" i="10"/>
  <c r="H11" i="10"/>
  <c r="H11" i="7"/>
  <c r="K7" i="5"/>
  <c r="J7" i="7"/>
  <c r="J7" i="10"/>
  <c r="E12" i="10"/>
  <c r="E14" i="10" s="1"/>
  <c r="E12" i="7"/>
  <c r="E14" i="7" s="1"/>
  <c r="I16" i="5"/>
  <c r="I5" i="6" s="1"/>
  <c r="K8" i="5"/>
  <c r="J8" i="7"/>
  <c r="J8" i="10"/>
  <c r="G34" i="5"/>
  <c r="G39" i="5" s="1"/>
  <c r="G42" i="5" s="1"/>
  <c r="F41" i="5"/>
  <c r="H24" i="5"/>
  <c r="H32" i="5" s="1"/>
  <c r="H7" i="6" s="1"/>
  <c r="I9" i="5"/>
  <c r="I11" i="5"/>
  <c r="J14" i="5"/>
  <c r="J16" i="5" s="1"/>
  <c r="J5" i="6" s="1"/>
  <c r="K19" i="5"/>
  <c r="I9" i="10" l="1"/>
  <c r="I9" i="7"/>
  <c r="L8" i="5"/>
  <c r="K8" i="10"/>
  <c r="K8" i="7"/>
  <c r="F14" i="10"/>
  <c r="E16" i="10"/>
  <c r="E24" i="10" s="1"/>
  <c r="E32" i="10" s="1"/>
  <c r="E34" i="10" s="1"/>
  <c r="E39" i="10" s="1"/>
  <c r="E1" i="10"/>
  <c r="I11" i="10"/>
  <c r="I11" i="7"/>
  <c r="F14" i="7"/>
  <c r="E16" i="7"/>
  <c r="E24" i="7" s="1"/>
  <c r="E32" i="7" s="1"/>
  <c r="E34" i="7" s="1"/>
  <c r="E39" i="7" s="1"/>
  <c r="E1" i="7"/>
  <c r="L7" i="5"/>
  <c r="K7" i="10"/>
  <c r="K7" i="7"/>
  <c r="G41" i="5"/>
  <c r="G44" i="5" s="1"/>
  <c r="G46" i="5" s="1"/>
  <c r="H34" i="5"/>
  <c r="H39" i="5" s="1"/>
  <c r="H42" i="5" s="1"/>
  <c r="F44" i="5"/>
  <c r="F46" i="5" s="1"/>
  <c r="I24" i="5"/>
  <c r="I32" i="5" s="1"/>
  <c r="I7" i="6" s="1"/>
  <c r="L19" i="5"/>
  <c r="K14" i="5"/>
  <c r="K16" i="5" s="1"/>
  <c r="K5" i="6" s="1"/>
  <c r="J11" i="5"/>
  <c r="J9" i="5"/>
  <c r="E42" i="10" l="1"/>
  <c r="E41" i="10"/>
  <c r="E44" i="10" s="1"/>
  <c r="E46" i="10" s="1"/>
  <c r="M8" i="5"/>
  <c r="L8" i="10"/>
  <c r="L8" i="7"/>
  <c r="J11" i="10"/>
  <c r="J11" i="7"/>
  <c r="M7" i="5"/>
  <c r="L7" i="10"/>
  <c r="L7" i="7"/>
  <c r="F16" i="10"/>
  <c r="F24" i="10" s="1"/>
  <c r="F32" i="10" s="1"/>
  <c r="F34" i="10" s="1"/>
  <c r="F39" i="10" s="1"/>
  <c r="G14" i="10"/>
  <c r="E42" i="7"/>
  <c r="E41" i="7"/>
  <c r="G14" i="7"/>
  <c r="F16" i="7"/>
  <c r="F24" i="7" s="1"/>
  <c r="F32" i="7" s="1"/>
  <c r="F34" i="7" s="1"/>
  <c r="F39" i="7" s="1"/>
  <c r="J9" i="10"/>
  <c r="J9" i="7"/>
  <c r="I34" i="5"/>
  <c r="I39" i="5" s="1"/>
  <c r="J24" i="5"/>
  <c r="J32" i="5" s="1"/>
  <c r="J7" i="6" s="1"/>
  <c r="H41" i="5"/>
  <c r="K9" i="5"/>
  <c r="K11" i="5"/>
  <c r="M19" i="5"/>
  <c r="L14" i="5"/>
  <c r="L16" i="5" s="1"/>
  <c r="L5" i="6" s="1"/>
  <c r="E44" i="7" l="1"/>
  <c r="H14" i="7"/>
  <c r="G16" i="7"/>
  <c r="G24" i="7" s="1"/>
  <c r="G32" i="7" s="1"/>
  <c r="G34" i="7" s="1"/>
  <c r="G39" i="7" s="1"/>
  <c r="E47" i="10"/>
  <c r="E46" i="7"/>
  <c r="K11" i="7"/>
  <c r="K11" i="10"/>
  <c r="F42" i="10"/>
  <c r="F41" i="10"/>
  <c r="N8" i="5"/>
  <c r="M8" i="7"/>
  <c r="M8" i="10"/>
  <c r="K9" i="7"/>
  <c r="K9" i="10"/>
  <c r="F42" i="7"/>
  <c r="F41" i="7"/>
  <c r="G16" i="10"/>
  <c r="G24" i="10" s="1"/>
  <c r="G32" i="10" s="1"/>
  <c r="G34" i="10" s="1"/>
  <c r="G39" i="10" s="1"/>
  <c r="H14" i="10"/>
  <c r="N7" i="5"/>
  <c r="M7" i="10"/>
  <c r="M7" i="7"/>
  <c r="I41" i="5"/>
  <c r="K24" i="5"/>
  <c r="K32" i="5" s="1"/>
  <c r="K7" i="6" s="1"/>
  <c r="J34" i="5"/>
  <c r="J39" i="5" s="1"/>
  <c r="J41" i="5" s="1"/>
  <c r="I42" i="5"/>
  <c r="H44" i="5"/>
  <c r="H46" i="5" s="1"/>
  <c r="L11" i="5"/>
  <c r="L9" i="5"/>
  <c r="M14" i="5"/>
  <c r="M16" i="5" s="1"/>
  <c r="M5" i="6" s="1"/>
  <c r="N19" i="5"/>
  <c r="F44" i="7" l="1"/>
  <c r="F46" i="7" s="1"/>
  <c r="F47" i="7" s="1"/>
  <c r="F48" i="7" s="1"/>
  <c r="F44" i="10"/>
  <c r="F46" i="10" s="1"/>
  <c r="F47" i="10" s="1"/>
  <c r="F48" i="10" s="1"/>
  <c r="G41" i="10"/>
  <c r="G42" i="10"/>
  <c r="O8" i="5"/>
  <c r="N8" i="7"/>
  <c r="N8" i="10"/>
  <c r="L11" i="10"/>
  <c r="L11" i="7"/>
  <c r="E48" i="10"/>
  <c r="L9" i="7"/>
  <c r="L9" i="10"/>
  <c r="G41" i="7"/>
  <c r="G42" i="7"/>
  <c r="O7" i="5"/>
  <c r="N7" i="7"/>
  <c r="N7" i="10"/>
  <c r="I14" i="10"/>
  <c r="H16" i="10"/>
  <c r="H24" i="10" s="1"/>
  <c r="H32" i="10" s="1"/>
  <c r="H34" i="10" s="1"/>
  <c r="H39" i="10" s="1"/>
  <c r="E47" i="7"/>
  <c r="H16" i="7"/>
  <c r="H24" i="7" s="1"/>
  <c r="H32" i="7" s="1"/>
  <c r="H34" i="7" s="1"/>
  <c r="H39" i="7" s="1"/>
  <c r="I14" i="7"/>
  <c r="K34" i="5"/>
  <c r="K39" i="5" s="1"/>
  <c r="K42" i="5" s="1"/>
  <c r="L24" i="5"/>
  <c r="L32" i="5" s="1"/>
  <c r="L7" i="6" s="1"/>
  <c r="J42" i="5"/>
  <c r="I44" i="5"/>
  <c r="I46" i="5" s="1"/>
  <c r="M9" i="5"/>
  <c r="M11" i="5"/>
  <c r="O19" i="5"/>
  <c r="N14" i="5"/>
  <c r="N16" i="5" s="1"/>
  <c r="N5" i="6" s="1"/>
  <c r="G44" i="10" l="1"/>
  <c r="G46" i="10" s="1"/>
  <c r="G47" i="10" s="1"/>
  <c r="G48" i="10" s="1"/>
  <c r="G44" i="7"/>
  <c r="G46" i="7" s="1"/>
  <c r="G47" i="7" s="1"/>
  <c r="G48" i="7" s="1"/>
  <c r="M9" i="10"/>
  <c r="M9" i="7"/>
  <c r="I16" i="7"/>
  <c r="I24" i="7" s="1"/>
  <c r="I32" i="7" s="1"/>
  <c r="I34" i="7" s="1"/>
  <c r="I39" i="7" s="1"/>
  <c r="J14" i="7"/>
  <c r="P8" i="5"/>
  <c r="O8" i="10"/>
  <c r="O8" i="7"/>
  <c r="I16" i="10"/>
  <c r="I24" i="10" s="1"/>
  <c r="I32" i="10" s="1"/>
  <c r="I34" i="10" s="1"/>
  <c r="I39" i="10" s="1"/>
  <c r="J14" i="10"/>
  <c r="P7" i="5"/>
  <c r="O7" i="10"/>
  <c r="O7" i="7"/>
  <c r="H42" i="10"/>
  <c r="H41" i="10"/>
  <c r="H42" i="7"/>
  <c r="H41" i="7"/>
  <c r="M11" i="10"/>
  <c r="M11" i="7"/>
  <c r="E48" i="7"/>
  <c r="K41" i="5"/>
  <c r="K44" i="5" s="1"/>
  <c r="K46" i="5" s="1"/>
  <c r="L34" i="5"/>
  <c r="L39" i="5" s="1"/>
  <c r="L42" i="5" s="1"/>
  <c r="J44" i="5"/>
  <c r="J46" i="5" s="1"/>
  <c r="M24" i="5"/>
  <c r="M32" i="5" s="1"/>
  <c r="M7" i="6" s="1"/>
  <c r="N11" i="5"/>
  <c r="N9" i="5"/>
  <c r="P19" i="5"/>
  <c r="Q19" i="5" s="1"/>
  <c r="O14" i="5"/>
  <c r="O16" i="5" s="1"/>
  <c r="O5" i="6" s="1"/>
  <c r="H44" i="7" l="1"/>
  <c r="H46" i="7" s="1"/>
  <c r="H47" i="7" s="1"/>
  <c r="H48" i="7" s="1"/>
  <c r="H44" i="10"/>
  <c r="H46" i="10" s="1"/>
  <c r="H47" i="10" s="1"/>
  <c r="I41" i="7"/>
  <c r="I42" i="7"/>
  <c r="I42" i="10"/>
  <c r="I41" i="10"/>
  <c r="N11" i="10"/>
  <c r="N11" i="7"/>
  <c r="Q7" i="5"/>
  <c r="P7" i="10"/>
  <c r="P7" i="7"/>
  <c r="J16" i="7"/>
  <c r="J24" i="7" s="1"/>
  <c r="J32" i="7" s="1"/>
  <c r="J34" i="7" s="1"/>
  <c r="J39" i="7" s="1"/>
  <c r="K14" i="7"/>
  <c r="N9" i="10"/>
  <c r="N9" i="7"/>
  <c r="J16" i="10"/>
  <c r="J24" i="10" s="1"/>
  <c r="J32" i="10" s="1"/>
  <c r="J34" i="10" s="1"/>
  <c r="J39" i="10" s="1"/>
  <c r="K14" i="10"/>
  <c r="Q8" i="5"/>
  <c r="P8" i="10"/>
  <c r="P8" i="7"/>
  <c r="L41" i="5"/>
  <c r="L44" i="5" s="1"/>
  <c r="L46" i="5" s="1"/>
  <c r="M34" i="5"/>
  <c r="M39" i="5" s="1"/>
  <c r="M42" i="5" s="1"/>
  <c r="N24" i="5"/>
  <c r="N32" i="5" s="1"/>
  <c r="N7" i="6" s="1"/>
  <c r="O9" i="5"/>
  <c r="O11" i="5"/>
  <c r="P14" i="5"/>
  <c r="P16" i="5" s="1"/>
  <c r="P5" i="6" s="1"/>
  <c r="I44" i="10" l="1"/>
  <c r="I46" i="10" s="1"/>
  <c r="I47" i="10" s="1"/>
  <c r="I48" i="10" s="1"/>
  <c r="K16" i="7"/>
  <c r="K24" i="7" s="1"/>
  <c r="K32" i="7" s="1"/>
  <c r="K34" i="7" s="1"/>
  <c r="K39" i="7" s="1"/>
  <c r="L14" i="7"/>
  <c r="J41" i="7"/>
  <c r="J42" i="7"/>
  <c r="J41" i="10"/>
  <c r="J42" i="10"/>
  <c r="O11" i="7"/>
  <c r="O11" i="10"/>
  <c r="Q8" i="7"/>
  <c r="Q8" i="10"/>
  <c r="Q7" i="10"/>
  <c r="Q7" i="7"/>
  <c r="O9" i="7"/>
  <c r="O9" i="10"/>
  <c r="L14" i="10"/>
  <c r="K16" i="10"/>
  <c r="K24" i="10" s="1"/>
  <c r="K32" i="10" s="1"/>
  <c r="K34" i="10" s="1"/>
  <c r="K39" i="10" s="1"/>
  <c r="I44" i="7"/>
  <c r="H48" i="10"/>
  <c r="N34" i="5"/>
  <c r="N39" i="5" s="1"/>
  <c r="N41" i="5" s="1"/>
  <c r="M41" i="5"/>
  <c r="O24" i="5"/>
  <c r="O32" i="5" s="1"/>
  <c r="O7" i="6" s="1"/>
  <c r="P11" i="5"/>
  <c r="P9" i="5"/>
  <c r="Q14" i="5"/>
  <c r="Q16" i="5" s="1"/>
  <c r="Q5" i="6" s="1"/>
  <c r="J44" i="7" l="1"/>
  <c r="J46" i="7" s="1"/>
  <c r="J47" i="7" s="1"/>
  <c r="J48" i="7" s="1"/>
  <c r="J44" i="10"/>
  <c r="J46" i="10" s="1"/>
  <c r="J47" i="10" s="1"/>
  <c r="J48" i="10" s="1"/>
  <c r="I46" i="7"/>
  <c r="K42" i="10"/>
  <c r="K41" i="10"/>
  <c r="L16" i="7"/>
  <c r="L24" i="7" s="1"/>
  <c r="L32" i="7" s="1"/>
  <c r="L34" i="7" s="1"/>
  <c r="L39" i="7" s="1"/>
  <c r="M14" i="7"/>
  <c r="P9" i="7"/>
  <c r="P9" i="10"/>
  <c r="P11" i="10"/>
  <c r="P11" i="7"/>
  <c r="M14" i="10"/>
  <c r="L16" i="10"/>
  <c r="K41" i="7"/>
  <c r="K42" i="7"/>
  <c r="Q24" i="5"/>
  <c r="Q32" i="5" s="1"/>
  <c r="Q7" i="6" s="1"/>
  <c r="O34" i="5"/>
  <c r="O39" i="5" s="1"/>
  <c r="O42" i="5" s="1"/>
  <c r="N42" i="5"/>
  <c r="M44" i="5"/>
  <c r="M46" i="5" s="1"/>
  <c r="P24" i="5"/>
  <c r="P32" i="5" s="1"/>
  <c r="P7" i="6" s="1"/>
  <c r="Q9" i="5"/>
  <c r="Q11" i="5"/>
  <c r="M16" i="10" l="1"/>
  <c r="M24" i="10" s="1"/>
  <c r="M32" i="10" s="1"/>
  <c r="M34" i="10" s="1"/>
  <c r="M39" i="10" s="1"/>
  <c r="N14" i="10"/>
  <c r="Q11" i="10"/>
  <c r="Q11" i="7"/>
  <c r="K44" i="7"/>
  <c r="K46" i="7" s="1"/>
  <c r="K47" i="7" s="1"/>
  <c r="K48" i="7" s="1"/>
  <c r="K44" i="10"/>
  <c r="K46" i="10" s="1"/>
  <c r="Q9" i="10"/>
  <c r="Q9" i="7"/>
  <c r="M16" i="7"/>
  <c r="M24" i="7" s="1"/>
  <c r="M32" i="7" s="1"/>
  <c r="M34" i="7" s="1"/>
  <c r="M39" i="7" s="1"/>
  <c r="N14" i="7"/>
  <c r="L24" i="10"/>
  <c r="L32" i="10" s="1"/>
  <c r="L34" i="10" s="1"/>
  <c r="L39" i="10" s="1"/>
  <c r="L42" i="7"/>
  <c r="L41" i="7"/>
  <c r="I47" i="7"/>
  <c r="P34" i="5"/>
  <c r="P39" i="5" s="1"/>
  <c r="P41" i="5" s="1"/>
  <c r="Q34" i="5"/>
  <c r="Q39" i="5" s="1"/>
  <c r="N44" i="5"/>
  <c r="N46" i="5" s="1"/>
  <c r="O41" i="5"/>
  <c r="L41" i="10" l="1"/>
  <c r="L42" i="10"/>
  <c r="I48" i="7"/>
  <c r="L44" i="7"/>
  <c r="L46" i="7" s="1"/>
  <c r="N16" i="7"/>
  <c r="N24" i="7" s="1"/>
  <c r="N32" i="7" s="1"/>
  <c r="N34" i="7" s="1"/>
  <c r="N39" i="7" s="1"/>
  <c r="O14" i="7"/>
  <c r="K47" i="10"/>
  <c r="N16" i="10"/>
  <c r="N24" i="10" s="1"/>
  <c r="N32" i="10" s="1"/>
  <c r="N34" i="10" s="1"/>
  <c r="N39" i="10" s="1"/>
  <c r="O14" i="10"/>
  <c r="M42" i="7"/>
  <c r="M41" i="7"/>
  <c r="M42" i="10"/>
  <c r="M41" i="10"/>
  <c r="O44" i="5"/>
  <c r="O46" i="5" s="1"/>
  <c r="P42" i="5"/>
  <c r="Q42" i="5"/>
  <c r="Q41" i="5"/>
  <c r="L44" i="10" l="1"/>
  <c r="L46" i="10" s="1"/>
  <c r="L47" i="10" s="1"/>
  <c r="L48" i="10" s="1"/>
  <c r="M44" i="7"/>
  <c r="M46" i="7" s="1"/>
  <c r="M47" i="7" s="1"/>
  <c r="M48" i="7" s="1"/>
  <c r="M44" i="10"/>
  <c r="M46" i="10" s="1"/>
  <c r="M47" i="10" s="1"/>
  <c r="M48" i="10" s="1"/>
  <c r="N41" i="7"/>
  <c r="N42" i="7"/>
  <c r="N42" i="10"/>
  <c r="N41" i="10"/>
  <c r="L47" i="7"/>
  <c r="P14" i="10"/>
  <c r="O16" i="10"/>
  <c r="O24" i="10" s="1"/>
  <c r="O32" i="10" s="1"/>
  <c r="O34" i="10" s="1"/>
  <c r="O39" i="10" s="1"/>
  <c r="P14" i="7"/>
  <c r="O16" i="7"/>
  <c r="O24" i="7" s="1"/>
  <c r="O32" i="7" s="1"/>
  <c r="O34" i="7" s="1"/>
  <c r="O39" i="7" s="1"/>
  <c r="K48" i="10"/>
  <c r="P44" i="5"/>
  <c r="P46" i="5" s="1"/>
  <c r="Q44" i="5"/>
  <c r="Q46" i="5" s="1"/>
  <c r="N44" i="7" l="1"/>
  <c r="N46" i="7" s="1"/>
  <c r="N47" i="7" s="1"/>
  <c r="N48" i="7" s="1"/>
  <c r="N44" i="10"/>
  <c r="N46" i="10" s="1"/>
  <c r="N47" i="10" s="1"/>
  <c r="N48" i="10" s="1"/>
  <c r="O42" i="7"/>
  <c r="O41" i="7"/>
  <c r="P16" i="10"/>
  <c r="P24" i="10" s="1"/>
  <c r="P32" i="10" s="1"/>
  <c r="P34" i="10" s="1"/>
  <c r="P39" i="10" s="1"/>
  <c r="Q14" i="10"/>
  <c r="Q16" i="10" s="1"/>
  <c r="Q24" i="10" s="1"/>
  <c r="Q32" i="10" s="1"/>
  <c r="Q34" i="10" s="1"/>
  <c r="Q39" i="10" s="1"/>
  <c r="L48" i="7"/>
  <c r="P16" i="7"/>
  <c r="P24" i="7" s="1"/>
  <c r="P32" i="7" s="1"/>
  <c r="P34" i="7" s="1"/>
  <c r="P39" i="7" s="1"/>
  <c r="Q14" i="7"/>
  <c r="Q16" i="7" s="1"/>
  <c r="Q24" i="7" s="1"/>
  <c r="Q32" i="7" s="1"/>
  <c r="Q34" i="7" s="1"/>
  <c r="Q39" i="7" s="1"/>
  <c r="O41" i="10"/>
  <c r="O42" i="10"/>
  <c r="C48" i="5"/>
  <c r="G48" i="5" s="1"/>
  <c r="E10" i="6"/>
  <c r="E12" i="6" s="1"/>
  <c r="E18" i="6" l="1"/>
  <c r="O44" i="10"/>
  <c r="O46" i="10" s="1"/>
  <c r="O47" i="10" s="1"/>
  <c r="O48" i="10" s="1"/>
  <c r="O44" i="7"/>
  <c r="O46" i="7" s="1"/>
  <c r="O47" i="7" s="1"/>
  <c r="O48" i="7" s="1"/>
  <c r="Q42" i="10"/>
  <c r="Q41" i="10"/>
  <c r="Q42" i="7"/>
  <c r="Q41" i="7"/>
  <c r="P41" i="10"/>
  <c r="P42" i="10"/>
  <c r="P41" i="7"/>
  <c r="P42" i="7"/>
  <c r="N10" i="6"/>
  <c r="N12" i="6" s="1"/>
  <c r="N18" i="6" s="1"/>
  <c r="O10" i="6"/>
  <c r="O12" i="6" s="1"/>
  <c r="O18" i="6" s="1"/>
  <c r="J10" i="6"/>
  <c r="J12" i="6" s="1"/>
  <c r="J18" i="6" s="1"/>
  <c r="Q10" i="6"/>
  <c r="Q12" i="6" s="1"/>
  <c r="Q18" i="6" s="1"/>
  <c r="M10" i="6"/>
  <c r="M12" i="6" s="1"/>
  <c r="M18" i="6" s="1"/>
  <c r="L10" i="6"/>
  <c r="L12" i="6" s="1"/>
  <c r="L18" i="6" s="1"/>
  <c r="H10" i="6"/>
  <c r="H12" i="6" s="1"/>
  <c r="H18" i="6" s="1"/>
  <c r="G10" i="6"/>
  <c r="G12" i="6" s="1"/>
  <c r="G18" i="6" s="1"/>
  <c r="F10" i="6"/>
  <c r="F12" i="6" s="1"/>
  <c r="P10" i="6"/>
  <c r="P12" i="6" s="1"/>
  <c r="K10" i="6"/>
  <c r="K12" i="6" s="1"/>
  <c r="I10" i="6"/>
  <c r="I12" i="6" s="1"/>
  <c r="Q44" i="10" l="1"/>
  <c r="Q46" i="10" s="1"/>
  <c r="Q32" i="6"/>
  <c r="Q33" i="6"/>
  <c r="O20" i="6"/>
  <c r="O32" i="6"/>
  <c r="O33" i="6"/>
  <c r="N32" i="6"/>
  <c r="N33" i="6"/>
  <c r="H20" i="6"/>
  <c r="H33" i="6"/>
  <c r="H32" i="6"/>
  <c r="L33" i="6"/>
  <c r="L32" i="6"/>
  <c r="J32" i="6"/>
  <c r="J33" i="6"/>
  <c r="G20" i="6"/>
  <c r="G33" i="6"/>
  <c r="G32" i="6"/>
  <c r="M33" i="6"/>
  <c r="M32" i="6"/>
  <c r="E33" i="6"/>
  <c r="E32" i="6"/>
  <c r="P44" i="10"/>
  <c r="P46" i="10" s="1"/>
  <c r="P47" i="10" s="1"/>
  <c r="P48" i="10" s="1"/>
  <c r="P44" i="7"/>
  <c r="P46" i="7" s="1"/>
  <c r="P47" i="7" s="1"/>
  <c r="P48" i="7" s="1"/>
  <c r="C51" i="10"/>
  <c r="Q44" i="7"/>
  <c r="O22" i="6"/>
  <c r="G22" i="6"/>
  <c r="H22" i="6"/>
  <c r="N20" i="6"/>
  <c r="N22" i="6"/>
  <c r="I18" i="6"/>
  <c r="P18" i="6"/>
  <c r="Q20" i="6"/>
  <c r="Q22" i="6"/>
  <c r="K18" i="6"/>
  <c r="L20" i="6"/>
  <c r="L22" i="6"/>
  <c r="M20" i="6"/>
  <c r="M22" i="6"/>
  <c r="E20" i="6"/>
  <c r="E22" i="6"/>
  <c r="F18" i="6"/>
  <c r="J20" i="6"/>
  <c r="J22" i="6"/>
  <c r="O23" i="6" l="1"/>
  <c r="O25" i="6" s="1"/>
  <c r="O26" i="6" s="1"/>
  <c r="G23" i="6"/>
  <c r="G25" i="6" s="1"/>
  <c r="G26" i="6" s="1"/>
  <c r="H23" i="6"/>
  <c r="H25" i="6" s="1"/>
  <c r="H26" i="6" s="1"/>
  <c r="P32" i="6"/>
  <c r="P33" i="6"/>
  <c r="I32" i="6"/>
  <c r="I33" i="6"/>
  <c r="K32" i="6"/>
  <c r="K33" i="6"/>
  <c r="F33" i="6"/>
  <c r="F32" i="6"/>
  <c r="Q47" i="10"/>
  <c r="C50" i="10"/>
  <c r="G50" i="5" s="1"/>
  <c r="Q46" i="7"/>
  <c r="C51" i="7"/>
  <c r="M23" i="6"/>
  <c r="M25" i="6" s="1"/>
  <c r="M26" i="6" s="1"/>
  <c r="K22" i="6"/>
  <c r="K20" i="6"/>
  <c r="N23" i="6"/>
  <c r="N25" i="6" s="1"/>
  <c r="N26" i="6" s="1"/>
  <c r="E23" i="6"/>
  <c r="Q23" i="6"/>
  <c r="Q25" i="6" s="1"/>
  <c r="Q26" i="6" s="1"/>
  <c r="P20" i="6"/>
  <c r="P22" i="6"/>
  <c r="F22" i="6"/>
  <c r="F20" i="6"/>
  <c r="I20" i="6"/>
  <c r="I22" i="6"/>
  <c r="J23" i="6"/>
  <c r="J25" i="6" s="1"/>
  <c r="J26" i="6" s="1"/>
  <c r="L23" i="6"/>
  <c r="L25" i="6" s="1"/>
  <c r="L26" i="6" s="1"/>
  <c r="E34" i="6" l="1"/>
  <c r="E35" i="6" s="1"/>
  <c r="E25" i="6"/>
  <c r="E26" i="6" s="1"/>
  <c r="Q47" i="7"/>
  <c r="C50" i="7"/>
  <c r="G49" i="5" s="1"/>
  <c r="G52" i="5" s="1"/>
  <c r="Q48" i="10"/>
  <c r="C53" i="10" s="1"/>
  <c r="C52" i="10"/>
  <c r="K23" i="6"/>
  <c r="K25" i="6" s="1"/>
  <c r="K26" i="6" s="1"/>
  <c r="F23" i="6"/>
  <c r="F25" i="6" s="1"/>
  <c r="F26" i="6" s="1"/>
  <c r="P23" i="6"/>
  <c r="P25" i="6" s="1"/>
  <c r="P26" i="6" s="1"/>
  <c r="I23" i="6"/>
  <c r="I25" i="6" s="1"/>
  <c r="I26" i="6" s="1"/>
  <c r="E29" i="6" l="1"/>
  <c r="Q48" i="7"/>
  <c r="C53" i="7" s="1"/>
  <c r="C52" i="7"/>
  <c r="F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Davide Guidorzi</author>
    <author>Vesta-Simone</author>
  </authors>
  <commentList>
    <comment ref="E7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Davide Guidorzi:</t>
        </r>
        <r>
          <rPr>
            <sz val="9"/>
            <color indexed="81"/>
            <rFont val="Tahoma"/>
            <charset val="1"/>
          </rPr>
          <t xml:space="preserve">
esborsi 2019:
- 50.000 una tantum
- 40.000 costi
- </t>
        </r>
      </text>
    </comment>
    <comment ref="E9" authorId="1" shapeId="0" xr:uid="{00000000-0006-0000-0100-000002000000}">
      <text>
        <r>
          <rPr>
            <sz val="9"/>
            <color indexed="81"/>
            <rFont val="Tahoma"/>
            <charset val="1"/>
          </rPr>
          <t>ho sottratto
 i 50k una taNTUM</t>
        </r>
      </text>
    </comment>
  </commentList>
</comments>
</file>

<file path=xl/sharedStrings.xml><?xml version="1.0" encoding="utf-8"?>
<sst xmlns="http://schemas.openxmlformats.org/spreadsheetml/2006/main" count="202" uniqueCount="84">
  <si>
    <t>Unit</t>
  </si>
  <si>
    <t>Info</t>
  </si>
  <si>
    <t>kWh/m2/a</t>
  </si>
  <si>
    <t>kWh/a</t>
  </si>
  <si>
    <t>kWh</t>
  </si>
  <si>
    <t>%</t>
  </si>
  <si>
    <t xml:space="preserve">% </t>
  </si>
  <si>
    <t>€/kWh</t>
  </si>
  <si>
    <t>€</t>
  </si>
  <si>
    <t>EBITDA</t>
  </si>
  <si>
    <t>IRES</t>
  </si>
  <si>
    <t>IRAP</t>
  </si>
  <si>
    <t>NPV</t>
  </si>
  <si>
    <t>IRR</t>
  </si>
  <si>
    <t>IMU</t>
  </si>
  <si>
    <t>opzione c) -8%</t>
  </si>
  <si>
    <t>Interest</t>
  </si>
  <si>
    <t>Loan repayment</t>
  </si>
  <si>
    <t>Net cash Flow</t>
  </si>
  <si>
    <t>Total repayment</t>
  </si>
  <si>
    <t>Total taxes</t>
  </si>
  <si>
    <t>APECCHIO</t>
  </si>
  <si>
    <t>RICAVI</t>
  </si>
  <si>
    <t>Potenza impianto</t>
  </si>
  <si>
    <t>Producibilità media specificaù</t>
  </si>
  <si>
    <t>Produzione annuale di energia</t>
  </si>
  <si>
    <t>Degrado annuo di efficienza</t>
  </si>
  <si>
    <t>Efficienza di trasformazione</t>
  </si>
  <si>
    <t>Tariffa Conto Energia</t>
  </si>
  <si>
    <t>Tariffa al netto spalmaincentivi</t>
  </si>
  <si>
    <t>Tariffa Conto Energia netta</t>
  </si>
  <si>
    <t>Prezzo medio cessione energia</t>
  </si>
  <si>
    <t>Fatturato annuo</t>
  </si>
  <si>
    <t>COSTI DIRETTI ED INDIRETTI</t>
  </si>
  <si>
    <t>Servizio guardiania</t>
  </si>
  <si>
    <t>Contratto O&amp;M (ordinaria)</t>
  </si>
  <si>
    <t>Manutenzioni straordinarie</t>
  </si>
  <si>
    <t>Mancata produzione da delivery</t>
  </si>
  <si>
    <t>Quota costi personale tecnico/amm.</t>
  </si>
  <si>
    <t>Quota mezzi e veicoli</t>
  </si>
  <si>
    <t>Sfalcio verde</t>
  </si>
  <si>
    <t>Polizza assicurativa</t>
  </si>
  <si>
    <t>Autoconsumi energia elettrica</t>
  </si>
  <si>
    <t>Fatture GSE per RID o variazioni impianto</t>
  </si>
  <si>
    <t>Contratto terreno</t>
  </si>
  <si>
    <t>Totale costi annui</t>
  </si>
  <si>
    <t>Rata leasing</t>
  </si>
  <si>
    <t>RISULTATO ANTE IMPOSTE</t>
  </si>
  <si>
    <t>UTILE NETTO</t>
  </si>
  <si>
    <t>Impianto</t>
  </si>
  <si>
    <t>Tasso attualizzazione</t>
  </si>
  <si>
    <t>UTILE NETTO ATTUALIZZATO</t>
  </si>
  <si>
    <t>VAN = VALORE ATTUALE NETTO</t>
  </si>
  <si>
    <t>INVESTIMENTO INIZIALE = BASE ASTA</t>
  </si>
  <si>
    <t>MOL (EBITDA)</t>
  </si>
  <si>
    <t>OPEX annui</t>
  </si>
  <si>
    <t>Canone da pagarsi al comune</t>
  </si>
  <si>
    <t>EBIT</t>
  </si>
  <si>
    <t>Net Cash Flow Attualizzato</t>
  </si>
  <si>
    <t>Investimento Complessivo pluriennale</t>
  </si>
  <si>
    <t>Accantonamento sostituzione inverter (4 anni)</t>
  </si>
  <si>
    <t xml:space="preserve"> &lt;&lt; Inflazione annua</t>
  </si>
  <si>
    <t>Riduzione tariffa GSE</t>
  </si>
  <si>
    <t>MASSIMA ESPOSIZIONE FINANZIARIA</t>
  </si>
  <si>
    <t>ANNI DI CASSA NEGATIVA</t>
  </si>
  <si>
    <t>TOTALE ESPOSIZIONE FINANZIARA</t>
  </si>
  <si>
    <t>VAN PONDERATO COMUNE</t>
  </si>
  <si>
    <t>Incentivo percepito fino a giugno 2018</t>
  </si>
  <si>
    <t>TOTALE</t>
  </si>
  <si>
    <t>Rate residue leasing</t>
  </si>
  <si>
    <t>Saldo negativo comune</t>
  </si>
  <si>
    <t>NO SANZIONI</t>
  </si>
  <si>
    <t>RIDUZIONE 20%</t>
  </si>
  <si>
    <t>RIDUZIONE 80%</t>
  </si>
  <si>
    <t>REVOCA INCENTIVO</t>
  </si>
  <si>
    <t>L'IMPIANTO VIENE SPENTO (RICAVI VENDITA &lt; COSTI)</t>
  </si>
  <si>
    <t>Anno peggiore per il comune</t>
  </si>
  <si>
    <t>Perdite</t>
  </si>
  <si>
    <t>Utili</t>
  </si>
  <si>
    <t>Delta</t>
  </si>
  <si>
    <t>Recuper tax</t>
  </si>
  <si>
    <t>Tasso annuo ISTAT rivalutazione canone</t>
  </si>
  <si>
    <t>Base 2002</t>
  </si>
  <si>
    <t>Base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</si>
</sst>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\-??\ _€_-;_-@_-"/>
    <numFmt numFmtId="165" formatCode="0.0%"/>
    <numFmt numFmtId="166" formatCode="_-* #,##0.00&quot; €&quot;_-;\-* #,##0.00&quot; €&quot;_-;_-* \-??&quot; €&quot;_-;_-@_-"/>
    <numFmt numFmtId="167" formatCode="_-* #,##0.0000&quot; €&quot;_-;\-* #,##0.0000&quot; €&quot;_-;_-* \-??&quot; €&quot;_-;_-@_-"/>
    <numFmt numFmtId="168" formatCode="_-[$€-2]\ * #,##0.00_-;\-[$€-2]\ * #,##0.00_-;_-[$€-2]\ * &quot;-&quot;??_-"/>
    <numFmt numFmtId="169" formatCode="_(* #,##0_);_(* \(#,##0\);_(* &quot;-&quot;_);_(@_)"/>
    <numFmt numFmtId="170" formatCode="_-* #,##0_-;\-* #,##0_-;_-* &quot;-&quot;??_-;_-@_-"/>
    <numFmt numFmtId="171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3" tint="0.59999389629810485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56"/>
        <bgColor indexed="63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rgb="FFFFFF00"/>
        <bgColor indexed="2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3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2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</cellStyleXfs>
  <cellXfs count="175">
    <xf numFmtId="0" fontId="0" fillId="0" borderId="0" xfId="0"/>
    <xf numFmtId="10" fontId="16" fillId="9" borderId="23" xfId="4" applyNumberFormat="1" applyFont="1" applyFill="1" applyBorder="1" applyAlignment="1" applyProtection="1">
      <alignment horizontal="center" vertical="center" wrapText="1"/>
      <protection locked="0"/>
    </xf>
    <xf numFmtId="165" fontId="10" fillId="6" borderId="3" xfId="4" applyNumberFormat="1" applyFont="1" applyFill="1" applyBorder="1" applyAlignment="1" applyProtection="1">
      <alignment horizontal="center"/>
      <protection locked="0"/>
    </xf>
    <xf numFmtId="43" fontId="6" fillId="5" borderId="23" xfId="1" applyFont="1" applyFill="1" applyBorder="1" applyProtection="1">
      <protection locked="0"/>
    </xf>
    <xf numFmtId="10" fontId="6" fillId="5" borderId="23" xfId="4" applyNumberFormat="1" applyFont="1" applyFill="1" applyBorder="1" applyProtection="1">
      <protection locked="0"/>
    </xf>
    <xf numFmtId="166" fontId="10" fillId="5" borderId="8" xfId="4" applyNumberFormat="1" applyFont="1" applyFill="1" applyBorder="1" applyProtection="1">
      <protection locked="0"/>
    </xf>
    <xf numFmtId="166" fontId="10" fillId="5" borderId="11" xfId="4" applyNumberFormat="1" applyFont="1" applyFill="1" applyBorder="1" applyProtection="1">
      <protection locked="0"/>
    </xf>
    <xf numFmtId="0" fontId="15" fillId="8" borderId="23" xfId="4" applyFont="1" applyFill="1" applyBorder="1" applyAlignment="1" applyProtection="1">
      <alignment horizontal="left" vertical="center" indent="2"/>
      <protection hidden="1"/>
    </xf>
    <xf numFmtId="0" fontId="16" fillId="13" borderId="23" xfId="4" applyFont="1" applyFill="1" applyBorder="1" applyAlignment="1" applyProtection="1">
      <alignment horizontal="center" vertical="center" wrapText="1"/>
      <protection hidden="1"/>
    </xf>
    <xf numFmtId="0" fontId="3" fillId="0" borderId="0" xfId="4" applyFont="1" applyProtection="1">
      <protection hidden="1"/>
    </xf>
    <xf numFmtId="43" fontId="3" fillId="0" borderId="0" xfId="1" applyFont="1" applyProtection="1">
      <protection hidden="1"/>
    </xf>
    <xf numFmtId="43" fontId="3" fillId="0" borderId="0" xfId="4" applyNumberFormat="1" applyFont="1" applyProtection="1">
      <protection hidden="1"/>
    </xf>
    <xf numFmtId="9" fontId="3" fillId="0" borderId="0" xfId="4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3" fillId="0" borderId="0" xfId="4" applyFont="1" applyAlignment="1" applyProtection="1">
      <alignment horizontal="center"/>
      <protection hidden="1"/>
    </xf>
    <xf numFmtId="0" fontId="3" fillId="0" borderId="1" xfId="4" applyFont="1" applyBorder="1" applyProtection="1">
      <protection hidden="1"/>
    </xf>
    <xf numFmtId="0" fontId="6" fillId="0" borderId="2" xfId="4" applyFont="1" applyBorder="1" applyAlignment="1" applyProtection="1">
      <alignment horizontal="center"/>
      <protection hidden="1"/>
    </xf>
    <xf numFmtId="0" fontId="6" fillId="0" borderId="3" xfId="4" applyFont="1" applyBorder="1" applyAlignment="1" applyProtection="1">
      <alignment horizontal="center"/>
      <protection hidden="1"/>
    </xf>
    <xf numFmtId="0" fontId="6" fillId="0" borderId="4" xfId="4" applyFont="1" applyBorder="1" applyAlignment="1" applyProtection="1">
      <alignment horizontal="center"/>
      <protection hidden="1"/>
    </xf>
    <xf numFmtId="0" fontId="7" fillId="3" borderId="3" xfId="4" applyFont="1" applyFill="1" applyBorder="1" applyProtection="1">
      <protection hidden="1"/>
    </xf>
    <xf numFmtId="9" fontId="7" fillId="3" borderId="3" xfId="4" applyNumberFormat="1" applyFont="1" applyFill="1" applyBorder="1" applyProtection="1">
      <protection hidden="1"/>
    </xf>
    <xf numFmtId="0" fontId="7" fillId="3" borderId="5" xfId="4" applyFont="1" applyFill="1" applyBorder="1" applyProtection="1">
      <protection hidden="1"/>
    </xf>
    <xf numFmtId="0" fontId="7" fillId="3" borderId="1" xfId="4" applyFont="1" applyFill="1" applyBorder="1" applyProtection="1">
      <protection hidden="1"/>
    </xf>
    <xf numFmtId="0" fontId="3" fillId="0" borderId="6" xfId="4" applyFont="1" applyBorder="1" applyProtection="1">
      <protection hidden="1"/>
    </xf>
    <xf numFmtId="164" fontId="3" fillId="10" borderId="7" xfId="4" applyNumberFormat="1" applyFont="1" applyFill="1" applyBorder="1" applyProtection="1">
      <protection hidden="1"/>
    </xf>
    <xf numFmtId="164" fontId="3" fillId="10" borderId="8" xfId="4" applyNumberFormat="1" applyFont="1" applyFill="1" applyBorder="1" applyProtection="1">
      <protection hidden="1"/>
    </xf>
    <xf numFmtId="164" fontId="3" fillId="0" borderId="6" xfId="4" applyNumberFormat="1" applyFont="1" applyBorder="1" applyProtection="1">
      <protection hidden="1"/>
    </xf>
    <xf numFmtId="164" fontId="3" fillId="0" borderId="24" xfId="4" applyNumberFormat="1" applyFont="1" applyBorder="1" applyProtection="1">
      <protection hidden="1"/>
    </xf>
    <xf numFmtId="164" fontId="3" fillId="0" borderId="1" xfId="4" applyNumberFormat="1" applyFont="1" applyBorder="1" applyProtection="1">
      <protection hidden="1"/>
    </xf>
    <xf numFmtId="0" fontId="3" fillId="0" borderId="9" xfId="4" applyFont="1" applyBorder="1" applyProtection="1">
      <protection hidden="1"/>
    </xf>
    <xf numFmtId="0" fontId="3" fillId="0" borderId="10" xfId="4" applyFont="1" applyBorder="1" applyProtection="1">
      <protection hidden="1"/>
    </xf>
    <xf numFmtId="0" fontId="3" fillId="10" borderId="0" xfId="4" applyFont="1" applyFill="1" applyBorder="1" applyProtection="1">
      <protection hidden="1"/>
    </xf>
    <xf numFmtId="164" fontId="3" fillId="10" borderId="11" xfId="4" applyNumberFormat="1" applyFont="1" applyFill="1" applyBorder="1" applyProtection="1">
      <protection hidden="1"/>
    </xf>
    <xf numFmtId="164" fontId="3" fillId="0" borderId="9" xfId="4" applyNumberFormat="1" applyFont="1" applyBorder="1" applyProtection="1">
      <protection hidden="1"/>
    </xf>
    <xf numFmtId="164" fontId="3" fillId="0" borderId="25" xfId="4" applyNumberFormat="1" applyFont="1" applyBorder="1" applyProtection="1">
      <protection hidden="1"/>
    </xf>
    <xf numFmtId="164" fontId="3" fillId="0" borderId="10" xfId="4" applyNumberFormat="1" applyFont="1" applyBorder="1" applyProtection="1">
      <protection hidden="1"/>
    </xf>
    <xf numFmtId="0" fontId="11" fillId="0" borderId="9" xfId="4" applyFont="1" applyBorder="1" applyProtection="1">
      <protection hidden="1"/>
    </xf>
    <xf numFmtId="10" fontId="10" fillId="10" borderId="23" xfId="4" applyNumberFormat="1" applyFont="1" applyFill="1" applyBorder="1" applyProtection="1">
      <protection hidden="1"/>
    </xf>
    <xf numFmtId="43" fontId="11" fillId="10" borderId="11" xfId="1" applyFont="1" applyFill="1" applyBorder="1" applyAlignment="1" applyProtection="1">
      <protection hidden="1"/>
    </xf>
    <xf numFmtId="43" fontId="11" fillId="0" borderId="10" xfId="1" applyFont="1" applyFill="1" applyBorder="1" applyAlignment="1" applyProtection="1">
      <protection hidden="1"/>
    </xf>
    <xf numFmtId="0" fontId="11" fillId="0" borderId="0" xfId="4" applyFont="1" applyProtection="1">
      <protection hidden="1"/>
    </xf>
    <xf numFmtId="39" fontId="6" fillId="10" borderId="23" xfId="4" applyNumberFormat="1" applyFont="1" applyFill="1" applyBorder="1" applyProtection="1">
      <protection hidden="1"/>
    </xf>
    <xf numFmtId="165" fontId="3" fillId="10" borderId="11" xfId="3" applyNumberFormat="1" applyFont="1" applyFill="1" applyBorder="1" applyAlignment="1" applyProtection="1">
      <protection hidden="1"/>
    </xf>
    <xf numFmtId="165" fontId="3" fillId="0" borderId="10" xfId="3" applyNumberFormat="1" applyFont="1" applyFill="1" applyBorder="1" applyAlignment="1" applyProtection="1">
      <protection hidden="1"/>
    </xf>
    <xf numFmtId="0" fontId="3" fillId="0" borderId="20" xfId="4" applyFont="1" applyBorder="1" applyProtection="1">
      <protection hidden="1"/>
    </xf>
    <xf numFmtId="0" fontId="3" fillId="0" borderId="19" xfId="4" applyFont="1" applyBorder="1" applyProtection="1">
      <protection hidden="1"/>
    </xf>
    <xf numFmtId="0" fontId="3" fillId="10" borderId="21" xfId="4" applyFont="1" applyFill="1" applyBorder="1" applyProtection="1">
      <protection hidden="1"/>
    </xf>
    <xf numFmtId="167" fontId="6" fillId="10" borderId="22" xfId="4" applyNumberFormat="1" applyFont="1" applyFill="1" applyBorder="1" applyProtection="1">
      <protection hidden="1"/>
    </xf>
    <xf numFmtId="165" fontId="3" fillId="0" borderId="19" xfId="3" applyNumberFormat="1" applyFont="1" applyFill="1" applyBorder="1" applyAlignment="1" applyProtection="1">
      <protection hidden="1"/>
    </xf>
    <xf numFmtId="10" fontId="3" fillId="10" borderId="11" xfId="4" applyNumberFormat="1" applyFont="1" applyFill="1" applyBorder="1" applyProtection="1">
      <protection hidden="1"/>
    </xf>
    <xf numFmtId="0" fontId="3" fillId="10" borderId="0" xfId="4" applyFont="1" applyFill="1" applyBorder="1" applyAlignment="1" applyProtection="1">
      <alignment horizontal="center"/>
      <protection hidden="1"/>
    </xf>
    <xf numFmtId="167" fontId="10" fillId="10" borderId="11" xfId="4" applyNumberFormat="1" applyFont="1" applyFill="1" applyBorder="1" applyProtection="1">
      <protection hidden="1"/>
    </xf>
    <xf numFmtId="167" fontId="12" fillId="0" borderId="10" xfId="4" applyNumberFormat="1" applyFont="1" applyBorder="1" applyProtection="1">
      <protection hidden="1"/>
    </xf>
    <xf numFmtId="167" fontId="10" fillId="10" borderId="23" xfId="4" applyNumberFormat="1" applyFont="1" applyFill="1" applyBorder="1" applyProtection="1">
      <protection hidden="1"/>
    </xf>
    <xf numFmtId="167" fontId="12" fillId="0" borderId="23" xfId="4" applyNumberFormat="1" applyFont="1" applyFill="1" applyBorder="1" applyProtection="1">
      <protection hidden="1"/>
    </xf>
    <xf numFmtId="44" fontId="7" fillId="3" borderId="13" xfId="2" applyFont="1" applyFill="1" applyBorder="1" applyAlignment="1" applyProtection="1">
      <protection hidden="1"/>
    </xf>
    <xf numFmtId="0" fontId="3" fillId="0" borderId="0" xfId="4" applyFont="1" applyBorder="1" applyProtection="1">
      <protection hidden="1"/>
    </xf>
    <xf numFmtId="10" fontId="3" fillId="0" borderId="7" xfId="4" applyNumberFormat="1" applyFont="1" applyBorder="1" applyProtection="1">
      <protection hidden="1"/>
    </xf>
    <xf numFmtId="166" fontId="11" fillId="0" borderId="8" xfId="4" applyNumberFormat="1" applyFont="1" applyFill="1" applyBorder="1" applyProtection="1">
      <protection hidden="1"/>
    </xf>
    <xf numFmtId="10" fontId="3" fillId="0" borderId="0" xfId="4" applyNumberFormat="1" applyFont="1" applyBorder="1" applyProtection="1">
      <protection hidden="1"/>
    </xf>
    <xf numFmtId="166" fontId="11" fillId="0" borderId="11" xfId="4" applyNumberFormat="1" applyFont="1" applyFill="1" applyBorder="1" applyProtection="1">
      <protection hidden="1"/>
    </xf>
    <xf numFmtId="166" fontId="10" fillId="7" borderId="11" xfId="4" applyNumberFormat="1" applyFont="1" applyFill="1" applyBorder="1" applyProtection="1">
      <protection hidden="1"/>
    </xf>
    <xf numFmtId="166" fontId="10" fillId="10" borderId="11" xfId="4" applyNumberFormat="1" applyFont="1" applyFill="1" applyBorder="1" applyProtection="1">
      <protection hidden="1"/>
    </xf>
    <xf numFmtId="0" fontId="7" fillId="3" borderId="13" xfId="4" applyFont="1" applyFill="1" applyBorder="1" applyProtection="1">
      <protection hidden="1"/>
    </xf>
    <xf numFmtId="0" fontId="7" fillId="3" borderId="12" xfId="4" applyFont="1" applyFill="1" applyBorder="1" applyProtection="1">
      <protection hidden="1"/>
    </xf>
    <xf numFmtId="10" fontId="7" fillId="3" borderId="14" xfId="4" applyNumberFormat="1" applyFont="1" applyFill="1" applyBorder="1" applyProtection="1">
      <protection hidden="1"/>
    </xf>
    <xf numFmtId="166" fontId="7" fillId="3" borderId="3" xfId="4" applyNumberFormat="1" applyFont="1" applyFill="1" applyBorder="1" applyProtection="1">
      <protection hidden="1"/>
    </xf>
    <xf numFmtId="0" fontId="8" fillId="0" borderId="16" xfId="4" applyFont="1" applyFill="1" applyBorder="1" applyProtection="1">
      <protection hidden="1"/>
    </xf>
    <xf numFmtId="0" fontId="8" fillId="0" borderId="17" xfId="4" applyFont="1" applyFill="1" applyBorder="1" applyProtection="1">
      <protection hidden="1"/>
    </xf>
    <xf numFmtId="0" fontId="8" fillId="0" borderId="18" xfId="4" applyFont="1" applyFill="1" applyBorder="1" applyProtection="1">
      <protection hidden="1"/>
    </xf>
    <xf numFmtId="166" fontId="8" fillId="0" borderId="3" xfId="4" applyNumberFormat="1" applyFont="1" applyFill="1" applyBorder="1" applyProtection="1">
      <protection hidden="1"/>
    </xf>
    <xf numFmtId="0" fontId="8" fillId="0" borderId="0" xfId="4" applyFont="1" applyFill="1" applyProtection="1">
      <protection hidden="1"/>
    </xf>
    <xf numFmtId="44" fontId="4" fillId="0" borderId="0" xfId="2" applyFont="1" applyFill="1" applyBorder="1" applyAlignment="1" applyProtection="1">
      <protection hidden="1"/>
    </xf>
    <xf numFmtId="166" fontId="10" fillId="0" borderId="8" xfId="4" applyNumberFormat="1" applyFont="1" applyFill="1" applyBorder="1" applyProtection="1">
      <protection hidden="1"/>
    </xf>
    <xf numFmtId="0" fontId="3" fillId="0" borderId="13" xfId="4" applyFont="1" applyBorder="1" applyProtection="1">
      <protection hidden="1"/>
    </xf>
    <xf numFmtId="0" fontId="3" fillId="0" borderId="12" xfId="4" applyFont="1" applyBorder="1" applyProtection="1">
      <protection hidden="1"/>
    </xf>
    <xf numFmtId="10" fontId="3" fillId="0" borderId="14" xfId="4" applyNumberFormat="1" applyFont="1" applyBorder="1" applyProtection="1">
      <protection hidden="1"/>
    </xf>
    <xf numFmtId="166" fontId="11" fillId="0" borderId="15" xfId="4" applyNumberFormat="1" applyFont="1" applyFill="1" applyBorder="1" applyProtection="1">
      <protection hidden="1"/>
    </xf>
    <xf numFmtId="10" fontId="3" fillId="10" borderId="7" xfId="4" applyNumberFormat="1" applyFont="1" applyFill="1" applyBorder="1" applyProtection="1">
      <protection hidden="1"/>
    </xf>
    <xf numFmtId="10" fontId="3" fillId="10" borderId="14" xfId="4" applyNumberFormat="1" applyFont="1" applyFill="1" applyBorder="1" applyProtection="1">
      <protection hidden="1"/>
    </xf>
    <xf numFmtId="0" fontId="17" fillId="14" borderId="37" xfId="4" applyFont="1" applyFill="1" applyBorder="1" applyProtection="1">
      <protection hidden="1"/>
    </xf>
    <xf numFmtId="43" fontId="17" fillId="14" borderId="38" xfId="1" applyFont="1" applyFill="1" applyBorder="1" applyProtection="1">
      <protection hidden="1"/>
    </xf>
    <xf numFmtId="170" fontId="3" fillId="4" borderId="41" xfId="1" applyNumberFormat="1" applyFont="1" applyFill="1" applyBorder="1" applyProtection="1">
      <protection hidden="1"/>
    </xf>
    <xf numFmtId="165" fontId="3" fillId="10" borderId="42" xfId="3" applyNumberFormat="1" applyFont="1" applyFill="1" applyBorder="1" applyProtection="1">
      <protection hidden="1"/>
    </xf>
    <xf numFmtId="43" fontId="3" fillId="4" borderId="43" xfId="4" applyNumberFormat="1" applyFont="1" applyFill="1" applyBorder="1" applyProtection="1">
      <protection hidden="1"/>
    </xf>
    <xf numFmtId="0" fontId="17" fillId="14" borderId="39" xfId="4" applyFont="1" applyFill="1" applyBorder="1" applyProtection="1">
      <protection hidden="1"/>
    </xf>
    <xf numFmtId="43" fontId="17" fillId="14" borderId="40" xfId="1" applyFont="1" applyFill="1" applyBorder="1" applyProtection="1">
      <protection hidden="1"/>
    </xf>
    <xf numFmtId="170" fontId="3" fillId="4" borderId="44" xfId="1" applyNumberFormat="1" applyFont="1" applyFill="1" applyBorder="1" applyProtection="1">
      <protection hidden="1"/>
    </xf>
    <xf numFmtId="165" fontId="3" fillId="10" borderId="23" xfId="3" applyNumberFormat="1" applyFont="1" applyFill="1" applyBorder="1" applyProtection="1">
      <protection hidden="1"/>
    </xf>
    <xf numFmtId="43" fontId="3" fillId="4" borderId="45" xfId="4" applyNumberFormat="1" applyFont="1" applyFill="1" applyBorder="1" applyProtection="1">
      <protection hidden="1"/>
    </xf>
    <xf numFmtId="0" fontId="3" fillId="4" borderId="44" xfId="4" applyFont="1" applyFill="1" applyBorder="1" applyProtection="1">
      <protection hidden="1"/>
    </xf>
    <xf numFmtId="0" fontId="3" fillId="4" borderId="46" xfId="4" applyFont="1" applyFill="1" applyBorder="1" applyProtection="1">
      <protection hidden="1"/>
    </xf>
    <xf numFmtId="9" fontId="3" fillId="4" borderId="47" xfId="4" applyNumberFormat="1" applyFont="1" applyFill="1" applyBorder="1" applyProtection="1">
      <protection hidden="1"/>
    </xf>
    <xf numFmtId="43" fontId="6" fillId="4" borderId="48" xfId="4" applyNumberFormat="1" applyFont="1" applyFill="1" applyBorder="1" applyProtection="1">
      <protection hidden="1"/>
    </xf>
    <xf numFmtId="0" fontId="6" fillId="0" borderId="8" xfId="4" applyFont="1" applyBorder="1" applyAlignment="1" applyProtection="1">
      <alignment horizontal="center"/>
      <protection hidden="1"/>
    </xf>
    <xf numFmtId="0" fontId="6" fillId="0" borderId="1" xfId="4" applyFont="1" applyBorder="1" applyAlignment="1" applyProtection="1">
      <alignment horizontal="center"/>
      <protection hidden="1"/>
    </xf>
    <xf numFmtId="0" fontId="6" fillId="0" borderId="7" xfId="4" applyFont="1" applyBorder="1" applyAlignment="1" applyProtection="1">
      <alignment horizontal="center"/>
      <protection hidden="1"/>
    </xf>
    <xf numFmtId="0" fontId="3" fillId="0" borderId="23" xfId="4" applyFont="1" applyBorder="1" applyProtection="1">
      <protection hidden="1"/>
    </xf>
    <xf numFmtId="0" fontId="3" fillId="0" borderId="23" xfId="4" applyFont="1" applyBorder="1" applyAlignment="1" applyProtection="1">
      <alignment horizontal="center"/>
      <protection hidden="1"/>
    </xf>
    <xf numFmtId="0" fontId="10" fillId="11" borderId="23" xfId="4" applyFont="1" applyFill="1" applyBorder="1" applyProtection="1">
      <protection hidden="1"/>
    </xf>
    <xf numFmtId="0" fontId="6" fillId="0" borderId="13" xfId="4" applyFont="1" applyBorder="1" applyProtection="1">
      <protection hidden="1"/>
    </xf>
    <xf numFmtId="0" fontId="3" fillId="0" borderId="12" xfId="4" applyFont="1" applyBorder="1" applyAlignment="1" applyProtection="1">
      <alignment horizontal="center"/>
      <protection hidden="1"/>
    </xf>
    <xf numFmtId="166" fontId="11" fillId="0" borderId="28" xfId="4" applyNumberFormat="1" applyFont="1" applyFill="1" applyBorder="1" applyProtection="1">
      <protection hidden="1"/>
    </xf>
    <xf numFmtId="0" fontId="3" fillId="0" borderId="26" xfId="4" applyFont="1" applyBorder="1" applyAlignment="1" applyProtection="1">
      <alignment horizontal="center"/>
      <protection hidden="1"/>
    </xf>
    <xf numFmtId="166" fontId="11" fillId="0" borderId="23" xfId="4" applyNumberFormat="1" applyFont="1" applyFill="1" applyBorder="1" applyProtection="1">
      <protection hidden="1"/>
    </xf>
    <xf numFmtId="0" fontId="6" fillId="0" borderId="23" xfId="4" applyFont="1" applyBorder="1" applyProtection="1">
      <protection hidden="1"/>
    </xf>
    <xf numFmtId="10" fontId="3" fillId="0" borderId="23" xfId="4" applyNumberFormat="1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10" fontId="3" fillId="0" borderId="0" xfId="4" applyNumberFormat="1" applyFont="1" applyFill="1" applyBorder="1" applyProtection="1">
      <protection hidden="1"/>
    </xf>
    <xf numFmtId="166" fontId="11" fillId="0" borderId="0" xfId="4" applyNumberFormat="1" applyFont="1" applyFill="1" applyBorder="1" applyProtection="1">
      <protection hidden="1"/>
    </xf>
    <xf numFmtId="0" fontId="6" fillId="0" borderId="0" xfId="4" applyFont="1" applyBorder="1" applyProtection="1">
      <protection hidden="1"/>
    </xf>
    <xf numFmtId="0" fontId="3" fillId="0" borderId="0" xfId="4" applyFont="1" applyBorder="1" applyAlignment="1" applyProtection="1">
      <alignment horizontal="center"/>
      <protection hidden="1"/>
    </xf>
    <xf numFmtId="10" fontId="3" fillId="0" borderId="1" xfId="4" applyNumberFormat="1" applyFont="1" applyBorder="1" applyProtection="1">
      <protection hidden="1"/>
    </xf>
    <xf numFmtId="10" fontId="3" fillId="0" borderId="10" xfId="4" applyNumberFormat="1" applyFont="1" applyBorder="1" applyProtection="1">
      <protection hidden="1"/>
    </xf>
    <xf numFmtId="10" fontId="3" fillId="0" borderId="12" xfId="4" applyNumberFormat="1" applyFont="1" applyBorder="1" applyProtection="1">
      <protection hidden="1"/>
    </xf>
    <xf numFmtId="166" fontId="8" fillId="0" borderId="4" xfId="4" applyNumberFormat="1" applyFont="1" applyFill="1" applyBorder="1" applyProtection="1">
      <protection hidden="1"/>
    </xf>
    <xf numFmtId="0" fontId="8" fillId="0" borderId="0" xfId="4" applyFont="1" applyFill="1" applyBorder="1" applyProtection="1">
      <protection hidden="1"/>
    </xf>
    <xf numFmtId="0" fontId="7" fillId="2" borderId="23" xfId="4" applyFont="1" applyFill="1" applyBorder="1" applyAlignment="1" applyProtection="1">
      <alignment horizontal="center" vertical="center" wrapText="1"/>
      <protection hidden="1"/>
    </xf>
    <xf numFmtId="44" fontId="5" fillId="2" borderId="23" xfId="2" applyFont="1" applyFill="1" applyBorder="1" applyAlignment="1" applyProtection="1">
      <alignment horizontal="center" vertical="center"/>
      <protection hidden="1"/>
    </xf>
    <xf numFmtId="3" fontId="6" fillId="0" borderId="0" xfId="4" applyNumberFormat="1" applyFont="1" applyProtection="1">
      <protection hidden="1"/>
    </xf>
    <xf numFmtId="0" fontId="9" fillId="0" borderId="0" xfId="4" applyFont="1" applyAlignment="1" applyProtection="1">
      <alignment horizontal="left" indent="3"/>
      <protection hidden="1"/>
    </xf>
    <xf numFmtId="44" fontId="3" fillId="0" borderId="23" xfId="2" applyFont="1" applyFill="1" applyBorder="1" applyAlignment="1" applyProtection="1">
      <protection hidden="1"/>
    </xf>
    <xf numFmtId="10" fontId="6" fillId="0" borderId="23" xfId="4" applyNumberFormat="1" applyFont="1" applyBorder="1" applyAlignment="1" applyProtection="1">
      <alignment horizontal="center"/>
      <protection hidden="1"/>
    </xf>
    <xf numFmtId="0" fontId="6" fillId="0" borderId="0" xfId="4" applyFont="1" applyProtection="1">
      <protection hidden="1"/>
    </xf>
    <xf numFmtId="10" fontId="16" fillId="13" borderId="23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4" applyFont="1" applyBorder="1" applyProtection="1">
      <protection hidden="1"/>
    </xf>
    <xf numFmtId="9" fontId="7" fillId="3" borderId="5" xfId="4" applyNumberFormat="1" applyFont="1" applyFill="1" applyBorder="1" applyProtection="1">
      <protection hidden="1"/>
    </xf>
    <xf numFmtId="0" fontId="7" fillId="3" borderId="32" xfId="4" applyFont="1" applyFill="1" applyBorder="1" applyProtection="1">
      <protection hidden="1"/>
    </xf>
    <xf numFmtId="0" fontId="7" fillId="3" borderId="4" xfId="4" applyFont="1" applyFill="1" applyBorder="1" applyProtection="1">
      <protection hidden="1"/>
    </xf>
    <xf numFmtId="164" fontId="3" fillId="0" borderId="33" xfId="4" applyNumberFormat="1" applyFont="1" applyBorder="1" applyProtection="1">
      <protection hidden="1"/>
    </xf>
    <xf numFmtId="164" fontId="3" fillId="0" borderId="7" xfId="4" applyNumberFormat="1" applyFont="1" applyBorder="1" applyProtection="1">
      <protection hidden="1"/>
    </xf>
    <xf numFmtId="164" fontId="3" fillId="0" borderId="0" xfId="4" applyNumberFormat="1" applyFont="1" applyBorder="1" applyProtection="1">
      <protection hidden="1"/>
    </xf>
    <xf numFmtId="10" fontId="3" fillId="0" borderId="33" xfId="3" applyNumberFormat="1" applyFont="1" applyBorder="1" applyProtection="1">
      <protection hidden="1"/>
    </xf>
    <xf numFmtId="43" fontId="11" fillId="0" borderId="25" xfId="1" applyFont="1" applyFill="1" applyBorder="1" applyAlignment="1" applyProtection="1">
      <protection hidden="1"/>
    </xf>
    <xf numFmtId="165" fontId="3" fillId="0" borderId="25" xfId="3" applyNumberFormat="1" applyFont="1" applyFill="1" applyBorder="1" applyAlignment="1" applyProtection="1">
      <protection hidden="1"/>
    </xf>
    <xf numFmtId="0" fontId="3" fillId="0" borderId="33" xfId="4" applyFont="1" applyBorder="1" applyProtection="1">
      <protection hidden="1"/>
    </xf>
    <xf numFmtId="167" fontId="6" fillId="10" borderId="21" xfId="4" applyNumberFormat="1" applyFont="1" applyFill="1" applyBorder="1" applyProtection="1">
      <protection hidden="1"/>
    </xf>
    <xf numFmtId="0" fontId="14" fillId="0" borderId="34" xfId="4" applyFont="1" applyBorder="1" applyProtection="1">
      <protection hidden="1"/>
    </xf>
    <xf numFmtId="0" fontId="14" fillId="0" borderId="35" xfId="4" applyFont="1" applyBorder="1" applyProtection="1">
      <protection hidden="1"/>
    </xf>
    <xf numFmtId="10" fontId="14" fillId="10" borderId="36" xfId="4" applyNumberFormat="1" applyFont="1" applyFill="1" applyBorder="1" applyProtection="1">
      <protection hidden="1"/>
    </xf>
    <xf numFmtId="0" fontId="3" fillId="0" borderId="25" xfId="4" applyFont="1" applyBorder="1" applyProtection="1">
      <protection hidden="1"/>
    </xf>
    <xf numFmtId="0" fontId="3" fillId="0" borderId="33" xfId="4" applyFont="1" applyBorder="1" applyAlignment="1" applyProtection="1">
      <alignment horizontal="center"/>
      <protection hidden="1"/>
    </xf>
    <xf numFmtId="167" fontId="10" fillId="10" borderId="0" xfId="4" applyNumberFormat="1" applyFont="1" applyFill="1" applyBorder="1" applyProtection="1">
      <protection hidden="1"/>
    </xf>
    <xf numFmtId="0" fontId="3" fillId="0" borderId="30" xfId="4" applyFont="1" applyBorder="1" applyAlignment="1" applyProtection="1">
      <alignment horizontal="center"/>
      <protection hidden="1"/>
    </xf>
    <xf numFmtId="167" fontId="10" fillId="10" borderId="27" xfId="4" applyNumberFormat="1" applyFont="1" applyFill="1" applyBorder="1" applyProtection="1">
      <protection hidden="1"/>
    </xf>
    <xf numFmtId="165" fontId="10" fillId="11" borderId="3" xfId="4" applyNumberFormat="1" applyFont="1" applyFill="1" applyBorder="1" applyAlignment="1" applyProtection="1">
      <alignment horizontal="center"/>
      <protection hidden="1"/>
    </xf>
    <xf numFmtId="43" fontId="6" fillId="10" borderId="23" xfId="1" applyFont="1" applyFill="1" applyBorder="1" applyProtection="1">
      <protection hidden="1"/>
    </xf>
    <xf numFmtId="10" fontId="6" fillId="10" borderId="23" xfId="4" applyNumberFormat="1" applyFont="1" applyFill="1" applyBorder="1" applyProtection="1">
      <protection hidden="1"/>
    </xf>
    <xf numFmtId="0" fontId="17" fillId="0" borderId="23" xfId="4" applyFont="1" applyFill="1" applyBorder="1" applyProtection="1">
      <protection hidden="1"/>
    </xf>
    <xf numFmtId="166" fontId="17" fillId="0" borderId="23" xfId="4" applyNumberFormat="1" applyFont="1" applyFill="1" applyBorder="1" applyProtection="1">
      <protection hidden="1"/>
    </xf>
    <xf numFmtId="170" fontId="17" fillId="0" borderId="23" xfId="1" applyNumberFormat="1" applyFont="1" applyFill="1" applyBorder="1" applyProtection="1">
      <protection hidden="1"/>
    </xf>
    <xf numFmtId="171" fontId="3" fillId="0" borderId="0" xfId="1" applyNumberFormat="1" applyFont="1" applyProtection="1">
      <protection hidden="1"/>
    </xf>
    <xf numFmtId="171" fontId="3" fillId="0" borderId="0" xfId="4" applyNumberFormat="1" applyFont="1" applyProtection="1">
      <protection hidden="1"/>
    </xf>
    <xf numFmtId="0" fontId="19" fillId="10" borderId="23" xfId="0" applyFont="1" applyFill="1" applyBorder="1" applyProtection="1">
      <protection hidden="1"/>
    </xf>
    <xf numFmtId="0" fontId="0" fillId="0" borderId="0" xfId="0" applyProtection="1">
      <protection hidden="1"/>
    </xf>
    <xf numFmtId="0" fontId="20" fillId="0" borderId="49" xfId="0" applyFont="1" applyBorder="1" applyAlignment="1" applyProtection="1">
      <alignment horizontal="center" vertical="center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0" fillId="0" borderId="23" xfId="0" applyBorder="1" applyProtection="1">
      <protection hidden="1"/>
    </xf>
    <xf numFmtId="43" fontId="0" fillId="0" borderId="23" xfId="1" applyFont="1" applyBorder="1" applyProtection="1">
      <protection hidden="1"/>
    </xf>
    <xf numFmtId="4" fontId="20" fillId="12" borderId="50" xfId="0" applyNumberFormat="1" applyFont="1" applyFill="1" applyBorder="1" applyAlignment="1" applyProtection="1">
      <alignment horizontal="center" vertical="center"/>
      <protection hidden="1"/>
    </xf>
    <xf numFmtId="4" fontId="18" fillId="12" borderId="27" xfId="0" applyNumberFormat="1" applyFont="1" applyFill="1" applyBorder="1" applyAlignment="1" applyProtection="1">
      <alignment horizontal="center" vertical="center"/>
      <protection hidden="1"/>
    </xf>
    <xf numFmtId="4" fontId="18" fillId="12" borderId="23" xfId="0" applyNumberFormat="1" applyFont="1" applyFill="1" applyBorder="1" applyAlignment="1" applyProtection="1">
      <alignment horizontal="center" vertical="center"/>
      <protection hidden="1"/>
    </xf>
    <xf numFmtId="0" fontId="19" fillId="0" borderId="23" xfId="0" applyFont="1" applyBorder="1" applyProtection="1">
      <protection hidden="1"/>
    </xf>
    <xf numFmtId="43" fontId="19" fillId="0" borderId="23" xfId="0" applyNumberFormat="1" applyFont="1" applyBorder="1" applyProtection="1">
      <protection hidden="1"/>
    </xf>
    <xf numFmtId="43" fontId="19" fillId="0" borderId="23" xfId="1" applyFont="1" applyBorder="1" applyProtection="1">
      <protection hidden="1"/>
    </xf>
    <xf numFmtId="43" fontId="10" fillId="11" borderId="27" xfId="4" applyNumberFormat="1" applyFont="1" applyFill="1" applyBorder="1" applyProtection="1">
      <protection hidden="1"/>
    </xf>
    <xf numFmtId="43" fontId="14" fillId="5" borderId="51" xfId="4" applyNumberFormat="1" applyFont="1" applyFill="1" applyBorder="1" applyProtection="1">
      <protection locked="0"/>
    </xf>
    <xf numFmtId="166" fontId="11" fillId="0" borderId="52" xfId="4" applyNumberFormat="1" applyFont="1" applyFill="1" applyBorder="1" applyProtection="1">
      <protection hidden="1"/>
    </xf>
    <xf numFmtId="10" fontId="14" fillId="5" borderId="51" xfId="4" applyNumberFormat="1" applyFont="1" applyFill="1" applyBorder="1" applyProtection="1">
      <protection locked="0"/>
    </xf>
    <xf numFmtId="10" fontId="14" fillId="15" borderId="29" xfId="4" applyNumberFormat="1" applyFont="1" applyFill="1" applyBorder="1" applyProtection="1">
      <protection locked="0"/>
    </xf>
    <xf numFmtId="166" fontId="10" fillId="0" borderId="11" xfId="4" applyNumberFormat="1" applyFont="1" applyFill="1" applyBorder="1" applyProtection="1">
      <protection hidden="1"/>
    </xf>
    <xf numFmtId="0" fontId="23" fillId="0" borderId="0" xfId="4" applyFont="1" applyProtection="1">
      <protection hidden="1"/>
    </xf>
    <xf numFmtId="0" fontId="3" fillId="5" borderId="26" xfId="4" applyFont="1" applyFill="1" applyBorder="1" applyAlignment="1" applyProtection="1">
      <alignment horizontal="center"/>
      <protection hidden="1"/>
    </xf>
    <xf numFmtId="10" fontId="14" fillId="10" borderId="51" xfId="4" applyNumberFormat="1" applyFont="1" applyFill="1" applyBorder="1" applyProtection="1">
      <protection locked="0"/>
    </xf>
  </cellXfs>
  <cellStyles count="11">
    <cellStyle name="Comma [0]" xfId="9" xr:uid="{00000000-0005-0000-0000-000000000000}"/>
    <cellStyle name="Currency [0]" xfId="10" xr:uid="{00000000-0005-0000-0000-000001000000}"/>
    <cellStyle name="Euro" xfId="5" xr:uid="{00000000-0005-0000-0000-000002000000}"/>
    <cellStyle name="Excel Built-in Normal" xfId="4" xr:uid="{00000000-0005-0000-0000-000003000000}"/>
    <cellStyle name="Migliaia" xfId="1" builtinId="3"/>
    <cellStyle name="Migliaia [0] 2" xfId="6" xr:uid="{00000000-0005-0000-0000-000005000000}"/>
    <cellStyle name="Migliaia 2" xfId="8" xr:uid="{00000000-0005-0000-0000-000006000000}"/>
    <cellStyle name="Normale" xfId="0" builtinId="0"/>
    <cellStyle name="Normale 2" xfId="7" xr:uid="{00000000-0005-0000-0000-000008000000}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esktop\Lavoro\CONSULENZA\CLIENTI\Comune%20di%20Apecchio\Perizia%20per%20gara\BP%20Apecchio\New%20Fedeli\Calcolatore_mutu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ortamento prestito excel"/>
      <sheetName val="Piano ammortamento Mutuo"/>
      <sheetName val="Calcolatore_mutui"/>
    </sheetNames>
    <definedNames>
      <definedName name="Durata_in_anni" refersTo="#RIF!"/>
      <definedName name="VBAdvanced.VB_Branch_Example" refersTo="#RIF!" sheetId="1"/>
      <definedName name="VBAdvanced.VB_GetWindowsDirectory" refersTo="#RIF!" sheetId="1"/>
    </definedNames>
    <sheetDataSet>
      <sheetData sheetId="0" refreshError="1"/>
      <sheetData sheetId="1">
        <row r="28">
          <cell r="C28" t="e">
            <v>#REF!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5"/>
  <sheetViews>
    <sheetView showGridLines="0" tabSelected="1" zoomScale="60" zoomScaleNormal="60" workbookViewId="0">
      <pane xSplit="4" ySplit="6" topLeftCell="E7" activePane="bottomRight" state="frozenSplit"/>
      <selection pane="topRight" activeCell="E1" sqref="E1"/>
      <selection pane="bottomLeft" activeCell="A6" sqref="A6"/>
      <selection pane="bottomRight" activeCell="E20" sqref="E20"/>
    </sheetView>
  </sheetViews>
  <sheetFormatPr defaultColWidth="11.42578125" defaultRowHeight="14.25" x14ac:dyDescent="0.2"/>
  <cols>
    <col min="1" max="1" width="11.42578125" style="9"/>
    <col min="2" max="2" width="54.140625" style="9" bestFit="1" customWidth="1"/>
    <col min="3" max="3" width="29.7109375" style="9" customWidth="1"/>
    <col min="4" max="4" width="23.5703125" style="9" customWidth="1"/>
    <col min="5" max="17" width="20.85546875" style="9" customWidth="1"/>
    <col min="18" max="253" width="11.42578125" style="9"/>
    <col min="254" max="254" width="25" style="9" customWidth="1"/>
    <col min="255" max="255" width="29.7109375" style="9" customWidth="1"/>
    <col min="256" max="256" width="30.85546875" style="9" customWidth="1"/>
    <col min="257" max="273" width="20.85546875" style="9" customWidth="1"/>
    <col min="274" max="509" width="11.42578125" style="9"/>
    <col min="510" max="510" width="25" style="9" customWidth="1"/>
    <col min="511" max="511" width="29.7109375" style="9" customWidth="1"/>
    <col min="512" max="512" width="30.85546875" style="9" customWidth="1"/>
    <col min="513" max="529" width="20.85546875" style="9" customWidth="1"/>
    <col min="530" max="765" width="11.42578125" style="9"/>
    <col min="766" max="766" width="25" style="9" customWidth="1"/>
    <col min="767" max="767" width="29.7109375" style="9" customWidth="1"/>
    <col min="768" max="768" width="30.85546875" style="9" customWidth="1"/>
    <col min="769" max="785" width="20.85546875" style="9" customWidth="1"/>
    <col min="786" max="1021" width="11.42578125" style="9"/>
    <col min="1022" max="1022" width="25" style="9" customWidth="1"/>
    <col min="1023" max="1023" width="29.7109375" style="9" customWidth="1"/>
    <col min="1024" max="1024" width="30.85546875" style="9" customWidth="1"/>
    <col min="1025" max="1041" width="20.85546875" style="9" customWidth="1"/>
    <col min="1042" max="1277" width="11.42578125" style="9"/>
    <col min="1278" max="1278" width="25" style="9" customWidth="1"/>
    <col min="1279" max="1279" width="29.7109375" style="9" customWidth="1"/>
    <col min="1280" max="1280" width="30.85546875" style="9" customWidth="1"/>
    <col min="1281" max="1297" width="20.85546875" style="9" customWidth="1"/>
    <col min="1298" max="1533" width="11.42578125" style="9"/>
    <col min="1534" max="1534" width="25" style="9" customWidth="1"/>
    <col min="1535" max="1535" width="29.7109375" style="9" customWidth="1"/>
    <col min="1536" max="1536" width="30.85546875" style="9" customWidth="1"/>
    <col min="1537" max="1553" width="20.85546875" style="9" customWidth="1"/>
    <col min="1554" max="1789" width="11.42578125" style="9"/>
    <col min="1790" max="1790" width="25" style="9" customWidth="1"/>
    <col min="1791" max="1791" width="29.7109375" style="9" customWidth="1"/>
    <col min="1792" max="1792" width="30.85546875" style="9" customWidth="1"/>
    <col min="1793" max="1809" width="20.85546875" style="9" customWidth="1"/>
    <col min="1810" max="2045" width="11.42578125" style="9"/>
    <col min="2046" max="2046" width="25" style="9" customWidth="1"/>
    <col min="2047" max="2047" width="29.7109375" style="9" customWidth="1"/>
    <col min="2048" max="2048" width="30.85546875" style="9" customWidth="1"/>
    <col min="2049" max="2065" width="20.85546875" style="9" customWidth="1"/>
    <col min="2066" max="2301" width="11.42578125" style="9"/>
    <col min="2302" max="2302" width="25" style="9" customWidth="1"/>
    <col min="2303" max="2303" width="29.7109375" style="9" customWidth="1"/>
    <col min="2304" max="2304" width="30.85546875" style="9" customWidth="1"/>
    <col min="2305" max="2321" width="20.85546875" style="9" customWidth="1"/>
    <col min="2322" max="2557" width="11.42578125" style="9"/>
    <col min="2558" max="2558" width="25" style="9" customWidth="1"/>
    <col min="2559" max="2559" width="29.7109375" style="9" customWidth="1"/>
    <col min="2560" max="2560" width="30.85546875" style="9" customWidth="1"/>
    <col min="2561" max="2577" width="20.85546875" style="9" customWidth="1"/>
    <col min="2578" max="2813" width="11.42578125" style="9"/>
    <col min="2814" max="2814" width="25" style="9" customWidth="1"/>
    <col min="2815" max="2815" width="29.7109375" style="9" customWidth="1"/>
    <col min="2816" max="2816" width="30.85546875" style="9" customWidth="1"/>
    <col min="2817" max="2833" width="20.85546875" style="9" customWidth="1"/>
    <col min="2834" max="3069" width="11.42578125" style="9"/>
    <col min="3070" max="3070" width="25" style="9" customWidth="1"/>
    <col min="3071" max="3071" width="29.7109375" style="9" customWidth="1"/>
    <col min="3072" max="3072" width="30.85546875" style="9" customWidth="1"/>
    <col min="3073" max="3089" width="20.85546875" style="9" customWidth="1"/>
    <col min="3090" max="3325" width="11.42578125" style="9"/>
    <col min="3326" max="3326" width="25" style="9" customWidth="1"/>
    <col min="3327" max="3327" width="29.7109375" style="9" customWidth="1"/>
    <col min="3328" max="3328" width="30.85546875" style="9" customWidth="1"/>
    <col min="3329" max="3345" width="20.85546875" style="9" customWidth="1"/>
    <col min="3346" max="3581" width="11.42578125" style="9"/>
    <col min="3582" max="3582" width="25" style="9" customWidth="1"/>
    <col min="3583" max="3583" width="29.7109375" style="9" customWidth="1"/>
    <col min="3584" max="3584" width="30.85546875" style="9" customWidth="1"/>
    <col min="3585" max="3601" width="20.85546875" style="9" customWidth="1"/>
    <col min="3602" max="3837" width="11.42578125" style="9"/>
    <col min="3838" max="3838" width="25" style="9" customWidth="1"/>
    <col min="3839" max="3839" width="29.7109375" style="9" customWidth="1"/>
    <col min="3840" max="3840" width="30.85546875" style="9" customWidth="1"/>
    <col min="3841" max="3857" width="20.85546875" style="9" customWidth="1"/>
    <col min="3858" max="4093" width="11.42578125" style="9"/>
    <col min="4094" max="4094" width="25" style="9" customWidth="1"/>
    <col min="4095" max="4095" width="29.7109375" style="9" customWidth="1"/>
    <col min="4096" max="4096" width="30.85546875" style="9" customWidth="1"/>
    <col min="4097" max="4113" width="20.85546875" style="9" customWidth="1"/>
    <col min="4114" max="4349" width="11.42578125" style="9"/>
    <col min="4350" max="4350" width="25" style="9" customWidth="1"/>
    <col min="4351" max="4351" width="29.7109375" style="9" customWidth="1"/>
    <col min="4352" max="4352" width="30.85546875" style="9" customWidth="1"/>
    <col min="4353" max="4369" width="20.85546875" style="9" customWidth="1"/>
    <col min="4370" max="4605" width="11.42578125" style="9"/>
    <col min="4606" max="4606" width="25" style="9" customWidth="1"/>
    <col min="4607" max="4607" width="29.7109375" style="9" customWidth="1"/>
    <col min="4608" max="4608" width="30.85546875" style="9" customWidth="1"/>
    <col min="4609" max="4625" width="20.85546875" style="9" customWidth="1"/>
    <col min="4626" max="4861" width="11.42578125" style="9"/>
    <col min="4862" max="4862" width="25" style="9" customWidth="1"/>
    <col min="4863" max="4863" width="29.7109375" style="9" customWidth="1"/>
    <col min="4864" max="4864" width="30.85546875" style="9" customWidth="1"/>
    <col min="4865" max="4881" width="20.85546875" style="9" customWidth="1"/>
    <col min="4882" max="5117" width="11.42578125" style="9"/>
    <col min="5118" max="5118" width="25" style="9" customWidth="1"/>
    <col min="5119" max="5119" width="29.7109375" style="9" customWidth="1"/>
    <col min="5120" max="5120" width="30.85546875" style="9" customWidth="1"/>
    <col min="5121" max="5137" width="20.85546875" style="9" customWidth="1"/>
    <col min="5138" max="5373" width="11.42578125" style="9"/>
    <col min="5374" max="5374" width="25" style="9" customWidth="1"/>
    <col min="5375" max="5375" width="29.7109375" style="9" customWidth="1"/>
    <col min="5376" max="5376" width="30.85546875" style="9" customWidth="1"/>
    <col min="5377" max="5393" width="20.85546875" style="9" customWidth="1"/>
    <col min="5394" max="5629" width="11.42578125" style="9"/>
    <col min="5630" max="5630" width="25" style="9" customWidth="1"/>
    <col min="5631" max="5631" width="29.7109375" style="9" customWidth="1"/>
    <col min="5632" max="5632" width="30.85546875" style="9" customWidth="1"/>
    <col min="5633" max="5649" width="20.85546875" style="9" customWidth="1"/>
    <col min="5650" max="5885" width="11.42578125" style="9"/>
    <col min="5886" max="5886" width="25" style="9" customWidth="1"/>
    <col min="5887" max="5887" width="29.7109375" style="9" customWidth="1"/>
    <col min="5888" max="5888" width="30.85546875" style="9" customWidth="1"/>
    <col min="5889" max="5905" width="20.85546875" style="9" customWidth="1"/>
    <col min="5906" max="6141" width="11.42578125" style="9"/>
    <col min="6142" max="6142" width="25" style="9" customWidth="1"/>
    <col min="6143" max="6143" width="29.7109375" style="9" customWidth="1"/>
    <col min="6144" max="6144" width="30.85546875" style="9" customWidth="1"/>
    <col min="6145" max="6161" width="20.85546875" style="9" customWidth="1"/>
    <col min="6162" max="6397" width="11.42578125" style="9"/>
    <col min="6398" max="6398" width="25" style="9" customWidth="1"/>
    <col min="6399" max="6399" width="29.7109375" style="9" customWidth="1"/>
    <col min="6400" max="6400" width="30.85546875" style="9" customWidth="1"/>
    <col min="6401" max="6417" width="20.85546875" style="9" customWidth="1"/>
    <col min="6418" max="6653" width="11.42578125" style="9"/>
    <col min="6654" max="6654" width="25" style="9" customWidth="1"/>
    <col min="6655" max="6655" width="29.7109375" style="9" customWidth="1"/>
    <col min="6656" max="6656" width="30.85546875" style="9" customWidth="1"/>
    <col min="6657" max="6673" width="20.85546875" style="9" customWidth="1"/>
    <col min="6674" max="6909" width="11.42578125" style="9"/>
    <col min="6910" max="6910" width="25" style="9" customWidth="1"/>
    <col min="6911" max="6911" width="29.7109375" style="9" customWidth="1"/>
    <col min="6912" max="6912" width="30.85546875" style="9" customWidth="1"/>
    <col min="6913" max="6929" width="20.85546875" style="9" customWidth="1"/>
    <col min="6930" max="7165" width="11.42578125" style="9"/>
    <col min="7166" max="7166" width="25" style="9" customWidth="1"/>
    <col min="7167" max="7167" width="29.7109375" style="9" customWidth="1"/>
    <col min="7168" max="7168" width="30.85546875" style="9" customWidth="1"/>
    <col min="7169" max="7185" width="20.85546875" style="9" customWidth="1"/>
    <col min="7186" max="7421" width="11.42578125" style="9"/>
    <col min="7422" max="7422" width="25" style="9" customWidth="1"/>
    <col min="7423" max="7423" width="29.7109375" style="9" customWidth="1"/>
    <col min="7424" max="7424" width="30.85546875" style="9" customWidth="1"/>
    <col min="7425" max="7441" width="20.85546875" style="9" customWidth="1"/>
    <col min="7442" max="7677" width="11.42578125" style="9"/>
    <col min="7678" max="7678" width="25" style="9" customWidth="1"/>
    <col min="7679" max="7679" width="29.7109375" style="9" customWidth="1"/>
    <col min="7680" max="7680" width="30.85546875" style="9" customWidth="1"/>
    <col min="7681" max="7697" width="20.85546875" style="9" customWidth="1"/>
    <col min="7698" max="7933" width="11.42578125" style="9"/>
    <col min="7934" max="7934" width="25" style="9" customWidth="1"/>
    <col min="7935" max="7935" width="29.7109375" style="9" customWidth="1"/>
    <col min="7936" max="7936" width="30.85546875" style="9" customWidth="1"/>
    <col min="7937" max="7953" width="20.85546875" style="9" customWidth="1"/>
    <col min="7954" max="8189" width="11.42578125" style="9"/>
    <col min="8190" max="8190" width="25" style="9" customWidth="1"/>
    <col min="8191" max="8191" width="29.7109375" style="9" customWidth="1"/>
    <col min="8192" max="8192" width="30.85546875" style="9" customWidth="1"/>
    <col min="8193" max="8209" width="20.85546875" style="9" customWidth="1"/>
    <col min="8210" max="8445" width="11.42578125" style="9"/>
    <col min="8446" max="8446" width="25" style="9" customWidth="1"/>
    <col min="8447" max="8447" width="29.7109375" style="9" customWidth="1"/>
    <col min="8448" max="8448" width="30.85546875" style="9" customWidth="1"/>
    <col min="8449" max="8465" width="20.85546875" style="9" customWidth="1"/>
    <col min="8466" max="8701" width="11.42578125" style="9"/>
    <col min="8702" max="8702" width="25" style="9" customWidth="1"/>
    <col min="8703" max="8703" width="29.7109375" style="9" customWidth="1"/>
    <col min="8704" max="8704" width="30.85546875" style="9" customWidth="1"/>
    <col min="8705" max="8721" width="20.85546875" style="9" customWidth="1"/>
    <col min="8722" max="8957" width="11.42578125" style="9"/>
    <col min="8958" max="8958" width="25" style="9" customWidth="1"/>
    <col min="8959" max="8959" width="29.7109375" style="9" customWidth="1"/>
    <col min="8960" max="8960" width="30.85546875" style="9" customWidth="1"/>
    <col min="8961" max="8977" width="20.85546875" style="9" customWidth="1"/>
    <col min="8978" max="9213" width="11.42578125" style="9"/>
    <col min="9214" max="9214" width="25" style="9" customWidth="1"/>
    <col min="9215" max="9215" width="29.7109375" style="9" customWidth="1"/>
    <col min="9216" max="9216" width="30.85546875" style="9" customWidth="1"/>
    <col min="9217" max="9233" width="20.85546875" style="9" customWidth="1"/>
    <col min="9234" max="9469" width="11.42578125" style="9"/>
    <col min="9470" max="9470" width="25" style="9" customWidth="1"/>
    <col min="9471" max="9471" width="29.7109375" style="9" customWidth="1"/>
    <col min="9472" max="9472" width="30.85546875" style="9" customWidth="1"/>
    <col min="9473" max="9489" width="20.85546875" style="9" customWidth="1"/>
    <col min="9490" max="9725" width="11.42578125" style="9"/>
    <col min="9726" max="9726" width="25" style="9" customWidth="1"/>
    <col min="9727" max="9727" width="29.7109375" style="9" customWidth="1"/>
    <col min="9728" max="9728" width="30.85546875" style="9" customWidth="1"/>
    <col min="9729" max="9745" width="20.85546875" style="9" customWidth="1"/>
    <col min="9746" max="9981" width="11.42578125" style="9"/>
    <col min="9982" max="9982" width="25" style="9" customWidth="1"/>
    <col min="9983" max="9983" width="29.7109375" style="9" customWidth="1"/>
    <col min="9984" max="9984" width="30.85546875" style="9" customWidth="1"/>
    <col min="9985" max="10001" width="20.85546875" style="9" customWidth="1"/>
    <col min="10002" max="10237" width="11.42578125" style="9"/>
    <col min="10238" max="10238" width="25" style="9" customWidth="1"/>
    <col min="10239" max="10239" width="29.7109375" style="9" customWidth="1"/>
    <col min="10240" max="10240" width="30.85546875" style="9" customWidth="1"/>
    <col min="10241" max="10257" width="20.85546875" style="9" customWidth="1"/>
    <col min="10258" max="10493" width="11.42578125" style="9"/>
    <col min="10494" max="10494" width="25" style="9" customWidth="1"/>
    <col min="10495" max="10495" width="29.7109375" style="9" customWidth="1"/>
    <col min="10496" max="10496" width="30.85546875" style="9" customWidth="1"/>
    <col min="10497" max="10513" width="20.85546875" style="9" customWidth="1"/>
    <col min="10514" max="10749" width="11.42578125" style="9"/>
    <col min="10750" max="10750" width="25" style="9" customWidth="1"/>
    <col min="10751" max="10751" width="29.7109375" style="9" customWidth="1"/>
    <col min="10752" max="10752" width="30.85546875" style="9" customWidth="1"/>
    <col min="10753" max="10769" width="20.85546875" style="9" customWidth="1"/>
    <col min="10770" max="11005" width="11.42578125" style="9"/>
    <col min="11006" max="11006" width="25" style="9" customWidth="1"/>
    <col min="11007" max="11007" width="29.7109375" style="9" customWidth="1"/>
    <col min="11008" max="11008" width="30.85546875" style="9" customWidth="1"/>
    <col min="11009" max="11025" width="20.85546875" style="9" customWidth="1"/>
    <col min="11026" max="11261" width="11.42578125" style="9"/>
    <col min="11262" max="11262" width="25" style="9" customWidth="1"/>
    <col min="11263" max="11263" width="29.7109375" style="9" customWidth="1"/>
    <col min="11264" max="11264" width="30.85546875" style="9" customWidth="1"/>
    <col min="11265" max="11281" width="20.85546875" style="9" customWidth="1"/>
    <col min="11282" max="11517" width="11.42578125" style="9"/>
    <col min="11518" max="11518" width="25" style="9" customWidth="1"/>
    <col min="11519" max="11519" width="29.7109375" style="9" customWidth="1"/>
    <col min="11520" max="11520" width="30.85546875" style="9" customWidth="1"/>
    <col min="11521" max="11537" width="20.85546875" style="9" customWidth="1"/>
    <col min="11538" max="11773" width="11.42578125" style="9"/>
    <col min="11774" max="11774" width="25" style="9" customWidth="1"/>
    <col min="11775" max="11775" width="29.7109375" style="9" customWidth="1"/>
    <col min="11776" max="11776" width="30.85546875" style="9" customWidth="1"/>
    <col min="11777" max="11793" width="20.85546875" style="9" customWidth="1"/>
    <col min="11794" max="12029" width="11.42578125" style="9"/>
    <col min="12030" max="12030" width="25" style="9" customWidth="1"/>
    <col min="12031" max="12031" width="29.7109375" style="9" customWidth="1"/>
    <col min="12032" max="12032" width="30.85546875" style="9" customWidth="1"/>
    <col min="12033" max="12049" width="20.85546875" style="9" customWidth="1"/>
    <col min="12050" max="12285" width="11.42578125" style="9"/>
    <col min="12286" max="12286" width="25" style="9" customWidth="1"/>
    <col min="12287" max="12287" width="29.7109375" style="9" customWidth="1"/>
    <col min="12288" max="12288" width="30.85546875" style="9" customWidth="1"/>
    <col min="12289" max="12305" width="20.85546875" style="9" customWidth="1"/>
    <col min="12306" max="12541" width="11.42578125" style="9"/>
    <col min="12542" max="12542" width="25" style="9" customWidth="1"/>
    <col min="12543" max="12543" width="29.7109375" style="9" customWidth="1"/>
    <col min="12544" max="12544" width="30.85546875" style="9" customWidth="1"/>
    <col min="12545" max="12561" width="20.85546875" style="9" customWidth="1"/>
    <col min="12562" max="12797" width="11.42578125" style="9"/>
    <col min="12798" max="12798" width="25" style="9" customWidth="1"/>
    <col min="12799" max="12799" width="29.7109375" style="9" customWidth="1"/>
    <col min="12800" max="12800" width="30.85546875" style="9" customWidth="1"/>
    <col min="12801" max="12817" width="20.85546875" style="9" customWidth="1"/>
    <col min="12818" max="13053" width="11.42578125" style="9"/>
    <col min="13054" max="13054" width="25" style="9" customWidth="1"/>
    <col min="13055" max="13055" width="29.7109375" style="9" customWidth="1"/>
    <col min="13056" max="13056" width="30.85546875" style="9" customWidth="1"/>
    <col min="13057" max="13073" width="20.85546875" style="9" customWidth="1"/>
    <col min="13074" max="13309" width="11.42578125" style="9"/>
    <col min="13310" max="13310" width="25" style="9" customWidth="1"/>
    <col min="13311" max="13311" width="29.7109375" style="9" customWidth="1"/>
    <col min="13312" max="13312" width="30.85546875" style="9" customWidth="1"/>
    <col min="13313" max="13329" width="20.85546875" style="9" customWidth="1"/>
    <col min="13330" max="13565" width="11.42578125" style="9"/>
    <col min="13566" max="13566" width="25" style="9" customWidth="1"/>
    <col min="13567" max="13567" width="29.7109375" style="9" customWidth="1"/>
    <col min="13568" max="13568" width="30.85546875" style="9" customWidth="1"/>
    <col min="13569" max="13585" width="20.85546875" style="9" customWidth="1"/>
    <col min="13586" max="13821" width="11.42578125" style="9"/>
    <col min="13822" max="13822" width="25" style="9" customWidth="1"/>
    <col min="13823" max="13823" width="29.7109375" style="9" customWidth="1"/>
    <col min="13824" max="13824" width="30.85546875" style="9" customWidth="1"/>
    <col min="13825" max="13841" width="20.85546875" style="9" customWidth="1"/>
    <col min="13842" max="14077" width="11.42578125" style="9"/>
    <col min="14078" max="14078" width="25" style="9" customWidth="1"/>
    <col min="14079" max="14079" width="29.7109375" style="9" customWidth="1"/>
    <col min="14080" max="14080" width="30.85546875" style="9" customWidth="1"/>
    <col min="14081" max="14097" width="20.85546875" style="9" customWidth="1"/>
    <col min="14098" max="14333" width="11.42578125" style="9"/>
    <col min="14334" max="14334" width="25" style="9" customWidth="1"/>
    <col min="14335" max="14335" width="29.7109375" style="9" customWidth="1"/>
    <col min="14336" max="14336" width="30.85546875" style="9" customWidth="1"/>
    <col min="14337" max="14353" width="20.85546875" style="9" customWidth="1"/>
    <col min="14354" max="14589" width="11.42578125" style="9"/>
    <col min="14590" max="14590" width="25" style="9" customWidth="1"/>
    <col min="14591" max="14591" width="29.7109375" style="9" customWidth="1"/>
    <col min="14592" max="14592" width="30.85546875" style="9" customWidth="1"/>
    <col min="14593" max="14609" width="20.85546875" style="9" customWidth="1"/>
    <col min="14610" max="14845" width="11.42578125" style="9"/>
    <col min="14846" max="14846" width="25" style="9" customWidth="1"/>
    <col min="14847" max="14847" width="29.7109375" style="9" customWidth="1"/>
    <col min="14848" max="14848" width="30.85546875" style="9" customWidth="1"/>
    <col min="14849" max="14865" width="20.85546875" style="9" customWidth="1"/>
    <col min="14866" max="15101" width="11.42578125" style="9"/>
    <col min="15102" max="15102" width="25" style="9" customWidth="1"/>
    <col min="15103" max="15103" width="29.7109375" style="9" customWidth="1"/>
    <col min="15104" max="15104" width="30.85546875" style="9" customWidth="1"/>
    <col min="15105" max="15121" width="20.85546875" style="9" customWidth="1"/>
    <col min="15122" max="15357" width="11.42578125" style="9"/>
    <col min="15358" max="15358" width="25" style="9" customWidth="1"/>
    <col min="15359" max="15359" width="29.7109375" style="9" customWidth="1"/>
    <col min="15360" max="15360" width="30.85546875" style="9" customWidth="1"/>
    <col min="15361" max="15377" width="20.85546875" style="9" customWidth="1"/>
    <col min="15378" max="15613" width="11.42578125" style="9"/>
    <col min="15614" max="15614" width="25" style="9" customWidth="1"/>
    <col min="15615" max="15615" width="29.7109375" style="9" customWidth="1"/>
    <col min="15616" max="15616" width="30.85546875" style="9" customWidth="1"/>
    <col min="15617" max="15633" width="20.85546875" style="9" customWidth="1"/>
    <col min="15634" max="15869" width="11.42578125" style="9"/>
    <col min="15870" max="15870" width="25" style="9" customWidth="1"/>
    <col min="15871" max="15871" width="29.7109375" style="9" customWidth="1"/>
    <col min="15872" max="15872" width="30.85546875" style="9" customWidth="1"/>
    <col min="15873" max="15889" width="20.85546875" style="9" customWidth="1"/>
    <col min="15890" max="16125" width="11.42578125" style="9"/>
    <col min="16126" max="16126" width="25" style="9" customWidth="1"/>
    <col min="16127" max="16127" width="29.7109375" style="9" customWidth="1"/>
    <col min="16128" max="16128" width="30.85546875" style="9" customWidth="1"/>
    <col min="16129" max="16145" width="20.85546875" style="9" customWidth="1"/>
    <col min="16146" max="16384" width="11.42578125" style="9"/>
  </cols>
  <sheetData>
    <row r="1" spans="2:17" ht="18" x14ac:dyDescent="0.2">
      <c r="B1" s="7" t="s">
        <v>49</v>
      </c>
      <c r="C1" s="8" t="s">
        <v>21</v>
      </c>
      <c r="E1" s="10">
        <f>E12*E10</f>
        <v>482728.73616000003</v>
      </c>
      <c r="F1" s="10"/>
      <c r="G1" s="11"/>
      <c r="H1" s="12"/>
      <c r="I1" s="13"/>
      <c r="J1" s="13"/>
      <c r="K1" s="13"/>
    </row>
    <row r="2" spans="2:17" ht="18" x14ac:dyDescent="0.2">
      <c r="B2" s="7" t="s">
        <v>50</v>
      </c>
      <c r="C2" s="1">
        <v>0.03</v>
      </c>
      <c r="E2" s="10">
        <f>E10*E15</f>
        <v>59932.46160000001</v>
      </c>
      <c r="K2" s="13"/>
    </row>
    <row r="3" spans="2:17" x14ac:dyDescent="0.2">
      <c r="K3" s="13"/>
    </row>
    <row r="4" spans="2:17" s="14" customFormat="1" x14ac:dyDescent="0.2">
      <c r="E4" s="14">
        <v>1</v>
      </c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14">
        <v>7</v>
      </c>
      <c r="L4" s="14">
        <v>8</v>
      </c>
      <c r="M4" s="14">
        <v>9</v>
      </c>
      <c r="N4" s="14">
        <v>10</v>
      </c>
      <c r="O4" s="14">
        <v>11</v>
      </c>
      <c r="P4" s="14">
        <v>12</v>
      </c>
      <c r="Q4" s="14">
        <v>13</v>
      </c>
    </row>
    <row r="5" spans="2:17" ht="15" x14ac:dyDescent="0.25">
      <c r="C5" s="15" t="s">
        <v>0</v>
      </c>
      <c r="D5" s="9" t="s">
        <v>1</v>
      </c>
      <c r="E5" s="16">
        <v>2019</v>
      </c>
      <c r="F5" s="17">
        <f t="shared" ref="F5:Q5" si="0">E5+1</f>
        <v>2020</v>
      </c>
      <c r="G5" s="17">
        <f t="shared" si="0"/>
        <v>2021</v>
      </c>
      <c r="H5" s="18">
        <f t="shared" si="0"/>
        <v>2022</v>
      </c>
      <c r="I5" s="18">
        <f t="shared" si="0"/>
        <v>2023</v>
      </c>
      <c r="J5" s="18">
        <f t="shared" si="0"/>
        <v>2024</v>
      </c>
      <c r="K5" s="18">
        <f t="shared" si="0"/>
        <v>2025</v>
      </c>
      <c r="L5" s="18">
        <f t="shared" si="0"/>
        <v>2026</v>
      </c>
      <c r="M5" s="18">
        <f t="shared" si="0"/>
        <v>2027</v>
      </c>
      <c r="N5" s="18">
        <f t="shared" si="0"/>
        <v>2028</v>
      </c>
      <c r="O5" s="18">
        <f t="shared" si="0"/>
        <v>2029</v>
      </c>
      <c r="P5" s="18">
        <f t="shared" si="0"/>
        <v>2030</v>
      </c>
      <c r="Q5" s="18">
        <f t="shared" si="0"/>
        <v>2031</v>
      </c>
    </row>
    <row r="6" spans="2:17" ht="15" x14ac:dyDescent="0.25">
      <c r="B6" s="19" t="s">
        <v>22</v>
      </c>
      <c r="C6" s="20"/>
      <c r="D6" s="19"/>
      <c r="E6" s="21"/>
      <c r="F6" s="19"/>
      <c r="G6" s="22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2:17" x14ac:dyDescent="0.2">
      <c r="B7" s="23" t="s">
        <v>23</v>
      </c>
      <c r="C7" s="15" t="s">
        <v>2</v>
      </c>
      <c r="D7" s="24"/>
      <c r="E7" s="25">
        <v>993.6</v>
      </c>
      <c r="F7" s="26">
        <f>E7</f>
        <v>993.6</v>
      </c>
      <c r="G7" s="26">
        <f>F7</f>
        <v>993.6</v>
      </c>
      <c r="H7" s="27">
        <f t="shared" ref="H7:Q8" si="1">G7</f>
        <v>993.6</v>
      </c>
      <c r="I7" s="28">
        <f t="shared" si="1"/>
        <v>993.6</v>
      </c>
      <c r="J7" s="28">
        <f t="shared" si="1"/>
        <v>993.6</v>
      </c>
      <c r="K7" s="28">
        <f t="shared" si="1"/>
        <v>993.6</v>
      </c>
      <c r="L7" s="28">
        <f t="shared" si="1"/>
        <v>993.6</v>
      </c>
      <c r="M7" s="28">
        <f t="shared" si="1"/>
        <v>993.6</v>
      </c>
      <c r="N7" s="28">
        <f t="shared" si="1"/>
        <v>993.6</v>
      </c>
      <c r="O7" s="28">
        <f t="shared" si="1"/>
        <v>993.6</v>
      </c>
      <c r="P7" s="28">
        <f t="shared" si="1"/>
        <v>993.6</v>
      </c>
      <c r="Q7" s="28">
        <f t="shared" si="1"/>
        <v>993.6</v>
      </c>
    </row>
    <row r="8" spans="2:17" x14ac:dyDescent="0.2">
      <c r="B8" s="29" t="s">
        <v>24</v>
      </c>
      <c r="C8" s="30" t="s">
        <v>3</v>
      </c>
      <c r="D8" s="31"/>
      <c r="E8" s="32">
        <v>1100</v>
      </c>
      <c r="F8" s="33">
        <f>E8</f>
        <v>1100</v>
      </c>
      <c r="G8" s="33">
        <f>F8</f>
        <v>1100</v>
      </c>
      <c r="H8" s="34">
        <f t="shared" si="1"/>
        <v>1100</v>
      </c>
      <c r="I8" s="35">
        <f t="shared" si="1"/>
        <v>1100</v>
      </c>
      <c r="J8" s="35">
        <f t="shared" si="1"/>
        <v>1100</v>
      </c>
      <c r="K8" s="35">
        <f t="shared" si="1"/>
        <v>1100</v>
      </c>
      <c r="L8" s="35">
        <f t="shared" si="1"/>
        <v>1100</v>
      </c>
      <c r="M8" s="35">
        <f t="shared" si="1"/>
        <v>1100</v>
      </c>
      <c r="N8" s="35">
        <f t="shared" si="1"/>
        <v>1100</v>
      </c>
      <c r="O8" s="35">
        <f t="shared" si="1"/>
        <v>1100</v>
      </c>
      <c r="P8" s="35">
        <f t="shared" si="1"/>
        <v>1100</v>
      </c>
      <c r="Q8" s="35">
        <f t="shared" si="1"/>
        <v>1100</v>
      </c>
    </row>
    <row r="9" spans="2:17" s="40" customFormat="1" ht="15" x14ac:dyDescent="0.25">
      <c r="B9" s="36" t="s">
        <v>26</v>
      </c>
      <c r="C9" s="36" t="s">
        <v>5</v>
      </c>
      <c r="D9" s="37">
        <v>-3.0000000000000001E-3</v>
      </c>
      <c r="E9" s="38">
        <f t="shared" ref="E9:Q9" si="2">$D$9*E10</f>
        <v>-3269.0433600000006</v>
      </c>
      <c r="F9" s="39">
        <f t="shared" si="2"/>
        <v>-3259.2362299200004</v>
      </c>
      <c r="G9" s="39">
        <f t="shared" si="2"/>
        <v>-3249.45852123024</v>
      </c>
      <c r="H9" s="39">
        <f t="shared" si="2"/>
        <v>-3239.7101456665496</v>
      </c>
      <c r="I9" s="39">
        <f t="shared" si="2"/>
        <v>-3229.9910152295497</v>
      </c>
      <c r="J9" s="39">
        <f t="shared" si="2"/>
        <v>-3220.3010421838612</v>
      </c>
      <c r="K9" s="39">
        <f t="shared" si="2"/>
        <v>-3210.6401390573096</v>
      </c>
      <c r="L9" s="39">
        <f t="shared" si="2"/>
        <v>-3201.0082186401373</v>
      </c>
      <c r="M9" s="39">
        <f t="shared" si="2"/>
        <v>-3191.4051939842175</v>
      </c>
      <c r="N9" s="39">
        <f t="shared" si="2"/>
        <v>-3181.8309784022649</v>
      </c>
      <c r="O9" s="39">
        <f t="shared" si="2"/>
        <v>-3172.2854854670582</v>
      </c>
      <c r="P9" s="39">
        <f t="shared" si="2"/>
        <v>-3162.7686290106567</v>
      </c>
      <c r="Q9" s="39">
        <f t="shared" si="2"/>
        <v>-1576.6401615618122</v>
      </c>
    </row>
    <row r="10" spans="2:17" ht="15" x14ac:dyDescent="0.25">
      <c r="B10" s="29" t="s">
        <v>25</v>
      </c>
      <c r="C10" s="29" t="s">
        <v>4</v>
      </c>
      <c r="D10" s="41">
        <f>$E$7*$E$8</f>
        <v>1092960</v>
      </c>
      <c r="E10" s="32">
        <f>$D$10*(1+$D$9)^E4</f>
        <v>1089681.1200000001</v>
      </c>
      <c r="F10" s="35">
        <f>$D$10*(1+$D$9)^F4</f>
        <v>1086412.0766400001</v>
      </c>
      <c r="G10" s="35">
        <f t="shared" ref="G10:P10" si="3">$D$10*(1+$D$9)^G4</f>
        <v>1083152.84041008</v>
      </c>
      <c r="H10" s="35">
        <f t="shared" si="3"/>
        <v>1079903.3818888499</v>
      </c>
      <c r="I10" s="35">
        <f t="shared" si="3"/>
        <v>1076663.6717431832</v>
      </c>
      <c r="J10" s="35">
        <f t="shared" si="3"/>
        <v>1073433.6807279538</v>
      </c>
      <c r="K10" s="35">
        <f t="shared" si="3"/>
        <v>1070213.3796857698</v>
      </c>
      <c r="L10" s="35">
        <f t="shared" si="3"/>
        <v>1067002.7395467125</v>
      </c>
      <c r="M10" s="35">
        <f t="shared" si="3"/>
        <v>1063801.7313280725</v>
      </c>
      <c r="N10" s="35">
        <f t="shared" si="3"/>
        <v>1060610.3261340882</v>
      </c>
      <c r="O10" s="35">
        <f t="shared" si="3"/>
        <v>1057428.495155686</v>
      </c>
      <c r="P10" s="35">
        <f t="shared" si="3"/>
        <v>1054256.2096702189</v>
      </c>
      <c r="Q10" s="35">
        <f>$D$10*(1+$D$9)^Q4/2</f>
        <v>525546.72052060405</v>
      </c>
    </row>
    <row r="11" spans="2:17" x14ac:dyDescent="0.2">
      <c r="B11" s="29" t="s">
        <v>27</v>
      </c>
      <c r="C11" s="30" t="s">
        <v>6</v>
      </c>
      <c r="D11" s="31"/>
      <c r="E11" s="42">
        <f>E10/D10</f>
        <v>0.99700000000000011</v>
      </c>
      <c r="F11" s="43">
        <f t="shared" ref="F11:Q11" si="4">F10/$D$10</f>
        <v>0.99400900000000014</v>
      </c>
      <c r="G11" s="43">
        <f t="shared" si="4"/>
        <v>0.99102697300000009</v>
      </c>
      <c r="H11" s="43">
        <f t="shared" si="4"/>
        <v>0.98805389208100014</v>
      </c>
      <c r="I11" s="43">
        <f t="shared" si="4"/>
        <v>0.985089730404757</v>
      </c>
      <c r="J11" s="43">
        <f t="shared" si="4"/>
        <v>0.98213446121354286</v>
      </c>
      <c r="K11" s="43">
        <f t="shared" si="4"/>
        <v>0.97918805782990204</v>
      </c>
      <c r="L11" s="43">
        <f t="shared" si="4"/>
        <v>0.97625049365641237</v>
      </c>
      <c r="M11" s="43">
        <f t="shared" si="4"/>
        <v>0.97332174217544332</v>
      </c>
      <c r="N11" s="43">
        <f t="shared" si="4"/>
        <v>0.97040177694891694</v>
      </c>
      <c r="O11" s="43">
        <f t="shared" si="4"/>
        <v>0.96749057161807028</v>
      </c>
      <c r="P11" s="43">
        <f t="shared" si="4"/>
        <v>0.96458809990321592</v>
      </c>
      <c r="Q11" s="43">
        <f t="shared" si="4"/>
        <v>0.48084716780175307</v>
      </c>
    </row>
    <row r="12" spans="2:17" ht="15" x14ac:dyDescent="0.25">
      <c r="B12" s="44" t="s">
        <v>28</v>
      </c>
      <c r="C12" s="45" t="s">
        <v>7</v>
      </c>
      <c r="D12" s="46"/>
      <c r="E12" s="47">
        <v>0.443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17" x14ac:dyDescent="0.2">
      <c r="B13" s="29" t="s">
        <v>29</v>
      </c>
      <c r="C13" s="30" t="s">
        <v>15</v>
      </c>
      <c r="D13" s="31"/>
      <c r="E13" s="49">
        <v>1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7" ht="15" x14ac:dyDescent="0.25">
      <c r="B14" s="29" t="s">
        <v>30</v>
      </c>
      <c r="C14" s="30" t="s">
        <v>7</v>
      </c>
      <c r="D14" s="50"/>
      <c r="E14" s="51">
        <f>E12*E13</f>
        <v>0.443</v>
      </c>
      <c r="F14" s="52">
        <f>E14</f>
        <v>0.443</v>
      </c>
      <c r="G14" s="52">
        <f t="shared" ref="G14:Q15" si="5">F14</f>
        <v>0.443</v>
      </c>
      <c r="H14" s="52">
        <f t="shared" si="5"/>
        <v>0.443</v>
      </c>
      <c r="I14" s="52">
        <f t="shared" si="5"/>
        <v>0.443</v>
      </c>
      <c r="J14" s="52">
        <f t="shared" si="5"/>
        <v>0.443</v>
      </c>
      <c r="K14" s="52">
        <f t="shared" si="5"/>
        <v>0.443</v>
      </c>
      <c r="L14" s="52">
        <f t="shared" si="5"/>
        <v>0.443</v>
      </c>
      <c r="M14" s="52">
        <f t="shared" si="5"/>
        <v>0.443</v>
      </c>
      <c r="N14" s="52">
        <f t="shared" si="5"/>
        <v>0.443</v>
      </c>
      <c r="O14" s="52">
        <f t="shared" si="5"/>
        <v>0.443</v>
      </c>
      <c r="P14" s="52">
        <f t="shared" si="5"/>
        <v>0.443</v>
      </c>
      <c r="Q14" s="52">
        <f t="shared" si="5"/>
        <v>0.443</v>
      </c>
    </row>
    <row r="15" spans="2:17" ht="15" x14ac:dyDescent="0.25">
      <c r="B15" s="29" t="s">
        <v>31</v>
      </c>
      <c r="C15" s="30"/>
      <c r="D15" s="50"/>
      <c r="E15" s="53">
        <v>5.5E-2</v>
      </c>
      <c r="F15" s="54">
        <f>E15</f>
        <v>5.5E-2</v>
      </c>
      <c r="G15" s="54">
        <f t="shared" si="5"/>
        <v>5.5E-2</v>
      </c>
      <c r="H15" s="54">
        <f t="shared" si="5"/>
        <v>5.5E-2</v>
      </c>
      <c r="I15" s="54">
        <f t="shared" si="5"/>
        <v>5.5E-2</v>
      </c>
      <c r="J15" s="54">
        <f t="shared" si="5"/>
        <v>5.5E-2</v>
      </c>
      <c r="K15" s="54">
        <f t="shared" si="5"/>
        <v>5.5E-2</v>
      </c>
      <c r="L15" s="54">
        <f t="shared" si="5"/>
        <v>5.5E-2</v>
      </c>
      <c r="M15" s="54">
        <f t="shared" si="5"/>
        <v>5.5E-2</v>
      </c>
      <c r="N15" s="54">
        <f t="shared" si="5"/>
        <v>5.5E-2</v>
      </c>
      <c r="O15" s="54">
        <f t="shared" si="5"/>
        <v>5.5E-2</v>
      </c>
      <c r="P15" s="54">
        <f t="shared" si="5"/>
        <v>5.5E-2</v>
      </c>
      <c r="Q15" s="54">
        <f t="shared" si="5"/>
        <v>5.5E-2</v>
      </c>
    </row>
    <row r="16" spans="2:17" ht="15" x14ac:dyDescent="0.25">
      <c r="B16" s="19" t="s">
        <v>32</v>
      </c>
      <c r="C16" s="19" t="s">
        <v>8</v>
      </c>
      <c r="D16" s="19"/>
      <c r="E16" s="55">
        <f>(E14*E10)+(E15*E10)*(1+$C$18)^(E4-1)</f>
        <v>542661.19776000001</v>
      </c>
      <c r="F16" s="55">
        <f>(F14*F10)+(F15*F10)*(1+$C$18)^(F4-1)</f>
        <v>542228.26745102403</v>
      </c>
      <c r="G16" s="55">
        <f>(G14*G10)+(G15*G10)*(1+$C$18)^(G4-1)</f>
        <v>541816.88013561105</v>
      </c>
      <c r="H16" s="55">
        <f t="shared" ref="H16:Q16" si="6">(H14*H10)+(H15*H10)*(1+$C$18)^(H4-1)</f>
        <v>541427.31412157312</v>
      </c>
      <c r="I16" s="55">
        <f t="shared" si="6"/>
        <v>541059.85269114794</v>
      </c>
      <c r="J16" s="55">
        <f t="shared" si="6"/>
        <v>540714.78418448637</v>
      </c>
      <c r="K16" s="55">
        <f t="shared" si="6"/>
        <v>540392.40208455559</v>
      </c>
      <c r="L16" s="55">
        <f t="shared" si="6"/>
        <v>540093.00510348403</v>
      </c>
      <c r="M16" s="55">
        <f t="shared" si="6"/>
        <v>539816.89727037051</v>
      </c>
      <c r="N16" s="55">
        <f t="shared" si="6"/>
        <v>539564.3880205825</v>
      </c>
      <c r="O16" s="55">
        <f t="shared" si="6"/>
        <v>539335.79228657181</v>
      </c>
      <c r="P16" s="55">
        <f t="shared" si="6"/>
        <v>539131.43059022818</v>
      </c>
      <c r="Q16" s="55">
        <f t="shared" si="6"/>
        <v>269475.81456840073</v>
      </c>
    </row>
    <row r="17" spans="2:17" s="56" customFormat="1" x14ac:dyDescent="0.2"/>
    <row r="18" spans="2:17" ht="15" x14ac:dyDescent="0.25">
      <c r="B18" s="19" t="s">
        <v>33</v>
      </c>
      <c r="C18" s="2">
        <v>0.02</v>
      </c>
      <c r="D18" s="19" t="s">
        <v>61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2:17" ht="15" x14ac:dyDescent="0.25">
      <c r="B19" s="23" t="s">
        <v>34</v>
      </c>
      <c r="C19" s="15"/>
      <c r="D19" s="57"/>
      <c r="E19" s="5">
        <v>-2488</v>
      </c>
      <c r="F19" s="58">
        <f t="shared" ref="F19:P19" si="7">E19*(1+$C$18)</f>
        <v>-2537.7600000000002</v>
      </c>
      <c r="G19" s="58">
        <f t="shared" si="7"/>
        <v>-2588.5152000000003</v>
      </c>
      <c r="H19" s="58">
        <f t="shared" si="7"/>
        <v>-2640.2855040000004</v>
      </c>
      <c r="I19" s="58">
        <f t="shared" si="7"/>
        <v>-2693.0912140800006</v>
      </c>
      <c r="J19" s="58">
        <f t="shared" si="7"/>
        <v>-2746.9530383616006</v>
      </c>
      <c r="K19" s="58">
        <f t="shared" si="7"/>
        <v>-2801.8920991288328</v>
      </c>
      <c r="L19" s="58">
        <f t="shared" si="7"/>
        <v>-2857.9299411114093</v>
      </c>
      <c r="M19" s="58">
        <f t="shared" si="7"/>
        <v>-2915.0885399336375</v>
      </c>
      <c r="N19" s="58">
        <f t="shared" si="7"/>
        <v>-2973.3903107323104</v>
      </c>
      <c r="O19" s="58">
        <f t="shared" si="7"/>
        <v>-3032.8581169469567</v>
      </c>
      <c r="P19" s="58">
        <f t="shared" si="7"/>
        <v>-3093.5152792858958</v>
      </c>
      <c r="Q19" s="58">
        <f>P19*(1+$C$18)/2</f>
        <v>-1577.692792435807</v>
      </c>
    </row>
    <row r="20" spans="2:17" ht="15" x14ac:dyDescent="0.25">
      <c r="B20" s="29" t="s">
        <v>35</v>
      </c>
      <c r="C20" s="30"/>
      <c r="D20" s="59"/>
      <c r="E20" s="6">
        <v>-22000</v>
      </c>
      <c r="F20" s="60">
        <f t="shared" ref="F20:P20" si="8">E20*(1+$C$18)</f>
        <v>-22440</v>
      </c>
      <c r="G20" s="60">
        <f t="shared" si="8"/>
        <v>-22888.799999999999</v>
      </c>
      <c r="H20" s="60">
        <f t="shared" si="8"/>
        <v>-23346.576000000001</v>
      </c>
      <c r="I20" s="60">
        <f t="shared" si="8"/>
        <v>-23813.507520000003</v>
      </c>
      <c r="J20" s="60">
        <f t="shared" si="8"/>
        <v>-24289.777670400003</v>
      </c>
      <c r="K20" s="60">
        <f t="shared" si="8"/>
        <v>-24775.573223808002</v>
      </c>
      <c r="L20" s="60">
        <f t="shared" si="8"/>
        <v>-25271.084688284162</v>
      </c>
      <c r="M20" s="60">
        <f t="shared" si="8"/>
        <v>-25776.506382049844</v>
      </c>
      <c r="N20" s="60">
        <f t="shared" si="8"/>
        <v>-26292.036509690843</v>
      </c>
      <c r="O20" s="60">
        <f t="shared" si="8"/>
        <v>-26817.87723988466</v>
      </c>
      <c r="P20" s="60">
        <f t="shared" si="8"/>
        <v>-27354.234784682354</v>
      </c>
      <c r="Q20" s="60">
        <f>P20*(1+$C$18)/2</f>
        <v>-13950.659740188001</v>
      </c>
    </row>
    <row r="21" spans="2:17" ht="15" x14ac:dyDescent="0.25">
      <c r="B21" s="29" t="s">
        <v>36</v>
      </c>
      <c r="C21" s="30"/>
      <c r="D21" s="59"/>
      <c r="E21" s="6">
        <v>-15000</v>
      </c>
      <c r="F21" s="60">
        <f>E21*(1+$C$18)</f>
        <v>-15300</v>
      </c>
      <c r="G21" s="60">
        <f t="shared" ref="G21:G22" si="9">F21*(1+$C$18)</f>
        <v>-15606</v>
      </c>
      <c r="H21" s="60">
        <f t="shared" ref="H21:H22" si="10">G21*(1+$C$18)</f>
        <v>-15918.12</v>
      </c>
      <c r="I21" s="60">
        <f t="shared" ref="I21:I22" si="11">H21*(1+$C$18)</f>
        <v>-16236.482400000001</v>
      </c>
      <c r="J21" s="60">
        <f t="shared" ref="J21:J22" si="12">I21*(1+$C$18)</f>
        <v>-16561.212048000001</v>
      </c>
      <c r="K21" s="60">
        <f t="shared" ref="K21:K22" si="13">J21*(1+$C$18)</f>
        <v>-16892.436288960002</v>
      </c>
      <c r="L21" s="60">
        <f t="shared" ref="L21:L22" si="14">K21*(1+$C$18)</f>
        <v>-17230.285014739202</v>
      </c>
      <c r="M21" s="60">
        <f t="shared" ref="M21:M22" si="15">L21*(1+$C$18)</f>
        <v>-17574.890715033987</v>
      </c>
      <c r="N21" s="60">
        <f t="shared" ref="N21:N22" si="16">M21*(1+$C$18)</f>
        <v>-17926.388529334668</v>
      </c>
      <c r="O21" s="60">
        <f t="shared" ref="O21:O22" si="17">N21*(1+$C$18)</f>
        <v>-18284.916299921362</v>
      </c>
      <c r="P21" s="60">
        <f t="shared" ref="P21:P22" si="18">O21*(1+$C$18)</f>
        <v>-18650.614625919789</v>
      </c>
      <c r="Q21" s="60">
        <f>P21*(1+$C$18)/2</f>
        <v>-9511.8134592190927</v>
      </c>
    </row>
    <row r="22" spans="2:17" ht="15" x14ac:dyDescent="0.25">
      <c r="B22" s="29" t="s">
        <v>40</v>
      </c>
      <c r="C22" s="30"/>
      <c r="D22" s="59"/>
      <c r="E22" s="6">
        <v>-2500</v>
      </c>
      <c r="F22" s="60">
        <f>E22*(1+$C$18)</f>
        <v>-2550</v>
      </c>
      <c r="G22" s="60">
        <f t="shared" si="9"/>
        <v>-2601</v>
      </c>
      <c r="H22" s="60">
        <f t="shared" si="10"/>
        <v>-2653.02</v>
      </c>
      <c r="I22" s="60">
        <f t="shared" si="11"/>
        <v>-2706.0803999999998</v>
      </c>
      <c r="J22" s="60">
        <f t="shared" si="12"/>
        <v>-2760.2020079999998</v>
      </c>
      <c r="K22" s="60">
        <f t="shared" si="13"/>
        <v>-2815.40604816</v>
      </c>
      <c r="L22" s="60">
        <f t="shared" si="14"/>
        <v>-2871.7141691232</v>
      </c>
      <c r="M22" s="60">
        <f t="shared" si="15"/>
        <v>-2929.148452505664</v>
      </c>
      <c r="N22" s="60">
        <f t="shared" si="16"/>
        <v>-2987.7314215557772</v>
      </c>
      <c r="O22" s="60">
        <f t="shared" si="17"/>
        <v>-3047.4860499868928</v>
      </c>
      <c r="P22" s="60">
        <f t="shared" si="18"/>
        <v>-3108.4357709866308</v>
      </c>
      <c r="Q22" s="60">
        <f>P22*(1+$C$18)/2</f>
        <v>-1585.3022432031817</v>
      </c>
    </row>
    <row r="23" spans="2:17" ht="15" x14ac:dyDescent="0.25">
      <c r="B23" s="29" t="s">
        <v>60</v>
      </c>
      <c r="C23" s="29"/>
      <c r="D23" s="3">
        <v>-130000</v>
      </c>
      <c r="E23" s="61">
        <f>D23/INT(Q4/3)</f>
        <v>-32500</v>
      </c>
      <c r="F23" s="60">
        <f>E23</f>
        <v>-32500</v>
      </c>
      <c r="G23" s="60">
        <f t="shared" ref="G23:H23" si="19">F23</f>
        <v>-32500</v>
      </c>
      <c r="H23" s="60">
        <f t="shared" si="19"/>
        <v>-32500</v>
      </c>
      <c r="I23" s="60"/>
      <c r="J23" s="60"/>
      <c r="K23" s="60"/>
      <c r="L23" s="60"/>
      <c r="M23" s="60"/>
      <c r="N23" s="60"/>
      <c r="O23" s="60"/>
      <c r="P23" s="60"/>
      <c r="Q23" s="60"/>
    </row>
    <row r="24" spans="2:17" ht="15" x14ac:dyDescent="0.25">
      <c r="B24" s="29" t="s">
        <v>37</v>
      </c>
      <c r="C24" s="29"/>
      <c r="D24" s="4">
        <f>-20/365</f>
        <v>-5.4794520547945202E-2</v>
      </c>
      <c r="E24" s="62">
        <f>$D$24*E16</f>
        <v>-29734.860151232875</v>
      </c>
      <c r="F24" s="60">
        <f>F16*$D$24</f>
        <v>-29711.137942521862</v>
      </c>
      <c r="G24" s="60">
        <f t="shared" ref="G24:P24" si="20">G16*$D$24</f>
        <v>-29688.596171814301</v>
      </c>
      <c r="H24" s="60">
        <f t="shared" si="20"/>
        <v>-29667.250088853321</v>
      </c>
      <c r="I24" s="60">
        <f t="shared" si="20"/>
        <v>-29647.115215953309</v>
      </c>
      <c r="J24" s="60">
        <f t="shared" si="20"/>
        <v>-29628.207352574595</v>
      </c>
      <c r="K24" s="60">
        <f t="shared" si="20"/>
        <v>-29610.542579975649</v>
      </c>
      <c r="L24" s="60">
        <f t="shared" si="20"/>
        <v>-29594.13726594433</v>
      </c>
      <c r="M24" s="60">
        <f t="shared" si="20"/>
        <v>-29579.008069609343</v>
      </c>
      <c r="N24" s="60">
        <f t="shared" si="20"/>
        <v>-29565.171946333285</v>
      </c>
      <c r="O24" s="60">
        <f t="shared" si="20"/>
        <v>-29552.646152688863</v>
      </c>
      <c r="P24" s="60">
        <f t="shared" si="20"/>
        <v>-29541.448251519352</v>
      </c>
      <c r="Q24" s="60">
        <f>Q16*$D$24/2</f>
        <v>-7382.8990292712524</v>
      </c>
    </row>
    <row r="25" spans="2:17" ht="15" x14ac:dyDescent="0.25">
      <c r="B25" s="29" t="s">
        <v>38</v>
      </c>
      <c r="C25" s="30"/>
      <c r="D25" s="59"/>
      <c r="E25" s="6">
        <v>-15000</v>
      </c>
      <c r="F25" s="60">
        <f t="shared" ref="F25:P25" si="21">E25*(1+$C$18)</f>
        <v>-15300</v>
      </c>
      <c r="G25" s="60">
        <f t="shared" si="21"/>
        <v>-15606</v>
      </c>
      <c r="H25" s="60">
        <f t="shared" si="21"/>
        <v>-15918.12</v>
      </c>
      <c r="I25" s="60">
        <f t="shared" si="21"/>
        <v>-16236.482400000001</v>
      </c>
      <c r="J25" s="60">
        <f t="shared" si="21"/>
        <v>-16561.212048000001</v>
      </c>
      <c r="K25" s="60">
        <f t="shared" si="21"/>
        <v>-16892.436288960002</v>
      </c>
      <c r="L25" s="60">
        <f t="shared" si="21"/>
        <v>-17230.285014739202</v>
      </c>
      <c r="M25" s="60">
        <f t="shared" si="21"/>
        <v>-17574.890715033987</v>
      </c>
      <c r="N25" s="60">
        <f t="shared" si="21"/>
        <v>-17926.388529334668</v>
      </c>
      <c r="O25" s="60">
        <f t="shared" si="21"/>
        <v>-18284.916299921362</v>
      </c>
      <c r="P25" s="60">
        <f t="shared" si="21"/>
        <v>-18650.614625919789</v>
      </c>
      <c r="Q25" s="60">
        <f t="shared" ref="Q25:Q30" si="22">P25*(1+$C$18)/2</f>
        <v>-9511.8134592190927</v>
      </c>
    </row>
    <row r="26" spans="2:17" ht="15" x14ac:dyDescent="0.25">
      <c r="B26" s="29" t="s">
        <v>39</v>
      </c>
      <c r="C26" s="30"/>
      <c r="D26" s="59"/>
      <c r="E26" s="6">
        <v>-500</v>
      </c>
      <c r="F26" s="60">
        <f t="shared" ref="F26:P26" si="23">E26*(1+$C$18)</f>
        <v>-510</v>
      </c>
      <c r="G26" s="60">
        <f t="shared" si="23"/>
        <v>-520.20000000000005</v>
      </c>
      <c r="H26" s="60">
        <f t="shared" si="23"/>
        <v>-530.60400000000004</v>
      </c>
      <c r="I26" s="60">
        <f t="shared" si="23"/>
        <v>-541.21608000000003</v>
      </c>
      <c r="J26" s="60">
        <f t="shared" si="23"/>
        <v>-552.0404016</v>
      </c>
      <c r="K26" s="60">
        <f t="shared" si="23"/>
        <v>-563.08120963199997</v>
      </c>
      <c r="L26" s="60">
        <f t="shared" si="23"/>
        <v>-574.34283382464002</v>
      </c>
      <c r="M26" s="60">
        <f t="shared" si="23"/>
        <v>-585.82969050113286</v>
      </c>
      <c r="N26" s="60">
        <f t="shared" si="23"/>
        <v>-597.54628431115555</v>
      </c>
      <c r="O26" s="60">
        <f t="shared" si="23"/>
        <v>-609.49720999737872</v>
      </c>
      <c r="P26" s="60">
        <f t="shared" si="23"/>
        <v>-621.68715419732632</v>
      </c>
      <c r="Q26" s="60">
        <f t="shared" si="22"/>
        <v>-317.06044864063642</v>
      </c>
    </row>
    <row r="27" spans="2:17" ht="15" x14ac:dyDescent="0.25">
      <c r="B27" s="29" t="s">
        <v>41</v>
      </c>
      <c r="C27" s="30"/>
      <c r="D27" s="59"/>
      <c r="E27" s="6">
        <v>-7622</v>
      </c>
      <c r="F27" s="60">
        <f t="shared" ref="F27:P27" si="24">E27*(1+$C$18)</f>
        <v>-7774.4400000000005</v>
      </c>
      <c r="G27" s="60">
        <f t="shared" si="24"/>
        <v>-7929.9288000000006</v>
      </c>
      <c r="H27" s="60">
        <f t="shared" si="24"/>
        <v>-8088.5273760000009</v>
      </c>
      <c r="I27" s="60">
        <f t="shared" si="24"/>
        <v>-8250.2979235200019</v>
      </c>
      <c r="J27" s="60">
        <f t="shared" si="24"/>
        <v>-8415.3038819904014</v>
      </c>
      <c r="K27" s="60">
        <f t="shared" si="24"/>
        <v>-8583.6099596302101</v>
      </c>
      <c r="L27" s="60">
        <f t="shared" si="24"/>
        <v>-8755.2821588228144</v>
      </c>
      <c r="M27" s="60">
        <f t="shared" si="24"/>
        <v>-8930.3878019992717</v>
      </c>
      <c r="N27" s="60">
        <f t="shared" si="24"/>
        <v>-9108.995558039258</v>
      </c>
      <c r="O27" s="60">
        <f t="shared" si="24"/>
        <v>-9291.1754692000432</v>
      </c>
      <c r="P27" s="60">
        <f t="shared" si="24"/>
        <v>-9476.9989785840444</v>
      </c>
      <c r="Q27" s="60">
        <f t="shared" si="22"/>
        <v>-4833.2694790778623</v>
      </c>
    </row>
    <row r="28" spans="2:17" ht="15" x14ac:dyDescent="0.25">
      <c r="B28" s="29" t="s">
        <v>42</v>
      </c>
      <c r="C28" s="30"/>
      <c r="D28" s="59"/>
      <c r="E28" s="6">
        <v>-7600</v>
      </c>
      <c r="F28" s="60">
        <f t="shared" ref="F28:P29" si="25">E28*(1+$C$18)</f>
        <v>-7752</v>
      </c>
      <c r="G28" s="60">
        <f t="shared" si="25"/>
        <v>-7907.04</v>
      </c>
      <c r="H28" s="60">
        <f t="shared" si="25"/>
        <v>-8065.1808000000001</v>
      </c>
      <c r="I28" s="60">
        <f t="shared" si="25"/>
        <v>-8226.4844159999993</v>
      </c>
      <c r="J28" s="60">
        <f t="shared" si="25"/>
        <v>-8391.0141043200001</v>
      </c>
      <c r="K28" s="60">
        <f t="shared" si="25"/>
        <v>-8558.8343864064009</v>
      </c>
      <c r="L28" s="60">
        <f t="shared" si="25"/>
        <v>-8730.0110741345288</v>
      </c>
      <c r="M28" s="60">
        <f t="shared" si="25"/>
        <v>-8904.6112956172201</v>
      </c>
      <c r="N28" s="60">
        <f t="shared" si="25"/>
        <v>-9082.7035215295655</v>
      </c>
      <c r="O28" s="60">
        <f t="shared" si="25"/>
        <v>-9264.3575919601572</v>
      </c>
      <c r="P28" s="60">
        <f t="shared" si="25"/>
        <v>-9449.6447437993611</v>
      </c>
      <c r="Q28" s="60">
        <f t="shared" si="22"/>
        <v>-4819.3188193376745</v>
      </c>
    </row>
    <row r="29" spans="2:17" ht="15" x14ac:dyDescent="0.25">
      <c r="B29" s="29" t="s">
        <v>43</v>
      </c>
      <c r="C29" s="30"/>
      <c r="D29" s="59"/>
      <c r="E29" s="6">
        <v>-4500</v>
      </c>
      <c r="F29" s="60">
        <f t="shared" si="25"/>
        <v>-4590</v>
      </c>
      <c r="G29" s="60">
        <f t="shared" ref="G29" si="26">F29*(1+$C$18)</f>
        <v>-4681.8</v>
      </c>
      <c r="H29" s="60">
        <f t="shared" ref="H29" si="27">G29*(1+$C$18)</f>
        <v>-4775.4360000000006</v>
      </c>
      <c r="I29" s="60">
        <f t="shared" ref="I29" si="28">H29*(1+$C$18)</f>
        <v>-4870.9447200000004</v>
      </c>
      <c r="J29" s="60">
        <f t="shared" ref="J29" si="29">I29*(1+$C$18)</f>
        <v>-4968.3636144000002</v>
      </c>
      <c r="K29" s="60">
        <f t="shared" ref="K29" si="30">J29*(1+$C$18)</f>
        <v>-5067.7308866880003</v>
      </c>
      <c r="L29" s="60">
        <f t="shared" ref="L29" si="31">K29*(1+$C$18)</f>
        <v>-5169.0855044217606</v>
      </c>
      <c r="M29" s="60">
        <f t="shared" ref="M29" si="32">L29*(1+$C$18)</f>
        <v>-5272.4672145101958</v>
      </c>
      <c r="N29" s="60">
        <f t="shared" ref="N29" si="33">M29*(1+$C$18)</f>
        <v>-5377.9165588003998</v>
      </c>
      <c r="O29" s="60">
        <f t="shared" ref="O29" si="34">N29*(1+$C$18)</f>
        <v>-5485.4748899764081</v>
      </c>
      <c r="P29" s="60">
        <f t="shared" ref="P29" si="35">O29*(1+$C$18)</f>
        <v>-5595.1843877759366</v>
      </c>
      <c r="Q29" s="60">
        <f t="shared" si="22"/>
        <v>-2853.5440377657278</v>
      </c>
    </row>
    <row r="30" spans="2:17" ht="15" x14ac:dyDescent="0.25">
      <c r="B30" s="29" t="s">
        <v>14</v>
      </c>
      <c r="C30" s="30"/>
      <c r="D30" s="59"/>
      <c r="E30" s="6">
        <v>0</v>
      </c>
      <c r="F30" s="60">
        <f t="shared" ref="F30:P30" si="36">E30*(1+$C$18)</f>
        <v>0</v>
      </c>
      <c r="G30" s="60">
        <f t="shared" si="36"/>
        <v>0</v>
      </c>
      <c r="H30" s="60">
        <f t="shared" si="36"/>
        <v>0</v>
      </c>
      <c r="I30" s="60">
        <f t="shared" si="36"/>
        <v>0</v>
      </c>
      <c r="J30" s="60">
        <f t="shared" si="36"/>
        <v>0</v>
      </c>
      <c r="K30" s="60">
        <f t="shared" si="36"/>
        <v>0</v>
      </c>
      <c r="L30" s="60">
        <f t="shared" si="36"/>
        <v>0</v>
      </c>
      <c r="M30" s="60">
        <f t="shared" si="36"/>
        <v>0</v>
      </c>
      <c r="N30" s="60">
        <f t="shared" si="36"/>
        <v>0</v>
      </c>
      <c r="O30" s="60">
        <f t="shared" si="36"/>
        <v>0</v>
      </c>
      <c r="P30" s="60">
        <f t="shared" si="36"/>
        <v>0</v>
      </c>
      <c r="Q30" s="60">
        <f t="shared" si="22"/>
        <v>0</v>
      </c>
    </row>
    <row r="31" spans="2:17" ht="15" x14ac:dyDescent="0.25">
      <c r="B31" s="29" t="s">
        <v>44</v>
      </c>
      <c r="C31" s="30"/>
      <c r="D31" s="59"/>
      <c r="E31" s="6">
        <v>-10200</v>
      </c>
      <c r="F31" s="60">
        <f>E31</f>
        <v>-10200</v>
      </c>
      <c r="G31" s="60">
        <f t="shared" ref="G31:P31" si="37">F31</f>
        <v>-10200</v>
      </c>
      <c r="H31" s="60">
        <f t="shared" si="37"/>
        <v>-10200</v>
      </c>
      <c r="I31" s="60">
        <f t="shared" si="37"/>
        <v>-10200</v>
      </c>
      <c r="J31" s="60">
        <f t="shared" si="37"/>
        <v>-10200</v>
      </c>
      <c r="K31" s="60">
        <f t="shared" si="37"/>
        <v>-10200</v>
      </c>
      <c r="L31" s="60">
        <f t="shared" si="37"/>
        <v>-10200</v>
      </c>
      <c r="M31" s="60">
        <f t="shared" si="37"/>
        <v>-10200</v>
      </c>
      <c r="N31" s="60">
        <f t="shared" si="37"/>
        <v>-10200</v>
      </c>
      <c r="O31" s="60">
        <f t="shared" si="37"/>
        <v>-10200</v>
      </c>
      <c r="P31" s="60">
        <f t="shared" si="37"/>
        <v>-10200</v>
      </c>
      <c r="Q31" s="60">
        <f>P31/2</f>
        <v>-5100</v>
      </c>
    </row>
    <row r="32" spans="2:17" ht="15" x14ac:dyDescent="0.25">
      <c r="B32" s="63" t="s">
        <v>45</v>
      </c>
      <c r="C32" s="64" t="s">
        <v>8</v>
      </c>
      <c r="D32" s="65"/>
      <c r="E32" s="66">
        <f>SUM(E19:E31)</f>
        <v>-149644.86015123286</v>
      </c>
      <c r="F32" s="66">
        <f t="shared" ref="F32:Q32" si="38">SUM(F19:F31)</f>
        <v>-151165.33794252187</v>
      </c>
      <c r="G32" s="66">
        <f t="shared" si="38"/>
        <v>-152717.88017181426</v>
      </c>
      <c r="H32" s="66">
        <f t="shared" si="38"/>
        <v>-154303.11976885333</v>
      </c>
      <c r="I32" s="66">
        <f t="shared" si="38"/>
        <v>-123421.70228955333</v>
      </c>
      <c r="J32" s="66">
        <f t="shared" si="38"/>
        <v>-125074.28616764661</v>
      </c>
      <c r="K32" s="66">
        <f t="shared" si="38"/>
        <v>-126761.5429713491</v>
      </c>
      <c r="L32" s="66">
        <f t="shared" si="38"/>
        <v>-128484.15766514525</v>
      </c>
      <c r="M32" s="66">
        <f t="shared" si="38"/>
        <v>-130242.82887679429</v>
      </c>
      <c r="N32" s="66">
        <f t="shared" si="38"/>
        <v>-132038.26916966191</v>
      </c>
      <c r="O32" s="66">
        <f t="shared" si="38"/>
        <v>-133871.20532048406</v>
      </c>
      <c r="P32" s="66">
        <f t="shared" si="38"/>
        <v>-135742.37860267048</v>
      </c>
      <c r="Q32" s="66">
        <f t="shared" si="38"/>
        <v>-61443.373508358331</v>
      </c>
    </row>
    <row r="33" spans="2:17" s="56" customFormat="1" x14ac:dyDescent="0.2"/>
    <row r="34" spans="2:17" s="71" customFormat="1" ht="15.75" x14ac:dyDescent="0.25">
      <c r="B34" s="67" t="s">
        <v>54</v>
      </c>
      <c r="C34" s="68"/>
      <c r="D34" s="69"/>
      <c r="E34" s="70">
        <f>E16+E32</f>
        <v>393016.33760876715</v>
      </c>
      <c r="F34" s="70">
        <f t="shared" ref="F34:Q34" si="39">F16+F32</f>
        <v>391062.92950850213</v>
      </c>
      <c r="G34" s="70">
        <f t="shared" si="39"/>
        <v>389098.99996379681</v>
      </c>
      <c r="H34" s="70">
        <f t="shared" si="39"/>
        <v>387124.19435271982</v>
      </c>
      <c r="I34" s="70">
        <f t="shared" si="39"/>
        <v>417638.15040159458</v>
      </c>
      <c r="J34" s="70">
        <f t="shared" si="39"/>
        <v>415640.49801683973</v>
      </c>
      <c r="K34" s="70">
        <f t="shared" si="39"/>
        <v>413630.8591132065</v>
      </c>
      <c r="L34" s="70">
        <f t="shared" si="39"/>
        <v>411608.84743833879</v>
      </c>
      <c r="M34" s="70">
        <f t="shared" si="39"/>
        <v>409574.06839357619</v>
      </c>
      <c r="N34" s="70">
        <f t="shared" si="39"/>
        <v>407526.11885092058</v>
      </c>
      <c r="O34" s="70">
        <f t="shared" si="39"/>
        <v>405464.58696608775</v>
      </c>
      <c r="P34" s="70">
        <f t="shared" si="39"/>
        <v>403389.05198755767</v>
      </c>
      <c r="Q34" s="70">
        <f t="shared" si="39"/>
        <v>208032.44106004242</v>
      </c>
    </row>
    <row r="35" spans="2:17" ht="18" x14ac:dyDescent="0.25">
      <c r="D35" s="72"/>
    </row>
    <row r="36" spans="2:17" ht="15" x14ac:dyDescent="0.25">
      <c r="B36" s="23" t="s">
        <v>46</v>
      </c>
      <c r="C36" s="15"/>
      <c r="D36" s="57"/>
      <c r="E36" s="73">
        <f>-92117.49*4</f>
        <v>-368469.96</v>
      </c>
      <c r="F36" s="73">
        <f t="shared" ref="F36:K36" si="40">-92117.49*4</f>
        <v>-368469.96</v>
      </c>
      <c r="G36" s="73">
        <f t="shared" si="40"/>
        <v>-368469.96</v>
      </c>
      <c r="H36" s="73">
        <f t="shared" si="40"/>
        <v>-368469.96</v>
      </c>
      <c r="I36" s="73">
        <f t="shared" si="40"/>
        <v>-368469.96</v>
      </c>
      <c r="J36" s="73">
        <f t="shared" si="40"/>
        <v>-368469.96</v>
      </c>
      <c r="K36" s="73">
        <f t="shared" si="40"/>
        <v>-368469.96</v>
      </c>
      <c r="L36" s="73">
        <f>-92117.49*3-30000</f>
        <v>-306352.47000000003</v>
      </c>
      <c r="M36" s="58"/>
      <c r="N36" s="58"/>
      <c r="O36" s="58"/>
      <c r="P36" s="58"/>
      <c r="Q36" s="58"/>
    </row>
    <row r="37" spans="2:17" x14ac:dyDescent="0.2">
      <c r="B37" s="74"/>
      <c r="C37" s="75"/>
      <c r="D37" s="76"/>
      <c r="E37" s="77"/>
      <c r="F37" s="77"/>
      <c r="G37" s="77">
        <f t="shared" ref="G37:Q37" si="41">F37</f>
        <v>0</v>
      </c>
      <c r="H37" s="77">
        <f t="shared" si="41"/>
        <v>0</v>
      </c>
      <c r="I37" s="77">
        <f t="shared" si="41"/>
        <v>0</v>
      </c>
      <c r="J37" s="77">
        <f t="shared" si="41"/>
        <v>0</v>
      </c>
      <c r="K37" s="77">
        <f t="shared" si="41"/>
        <v>0</v>
      </c>
      <c r="L37" s="77">
        <f t="shared" si="41"/>
        <v>0</v>
      </c>
      <c r="M37" s="77">
        <f t="shared" si="41"/>
        <v>0</v>
      </c>
      <c r="N37" s="77">
        <f t="shared" si="41"/>
        <v>0</v>
      </c>
      <c r="O37" s="77">
        <f t="shared" si="41"/>
        <v>0</v>
      </c>
      <c r="P37" s="77">
        <f t="shared" si="41"/>
        <v>0</v>
      </c>
      <c r="Q37" s="77">
        <f t="shared" si="41"/>
        <v>0</v>
      </c>
    </row>
    <row r="38" spans="2:17" ht="18" x14ac:dyDescent="0.25">
      <c r="D38" s="72"/>
    </row>
    <row r="39" spans="2:17" s="71" customFormat="1" ht="15.75" x14ac:dyDescent="0.25">
      <c r="B39" s="67" t="s">
        <v>47</v>
      </c>
      <c r="C39" s="68"/>
      <c r="D39" s="69"/>
      <c r="E39" s="70">
        <f>E34+E36+E37</f>
        <v>24546.377608767129</v>
      </c>
      <c r="F39" s="70">
        <f t="shared" ref="F39:Q39" si="42">F34+F36+F37</f>
        <v>22592.969508502109</v>
      </c>
      <c r="G39" s="70">
        <f t="shared" si="42"/>
        <v>20629.039963796793</v>
      </c>
      <c r="H39" s="70">
        <f t="shared" si="42"/>
        <v>18654.234352719795</v>
      </c>
      <c r="I39" s="70">
        <f t="shared" si="42"/>
        <v>49168.190401594562</v>
      </c>
      <c r="J39" s="70">
        <f t="shared" si="42"/>
        <v>47170.53801683971</v>
      </c>
      <c r="K39" s="70">
        <f t="shared" si="42"/>
        <v>45160.899113206484</v>
      </c>
      <c r="L39" s="70">
        <f t="shared" si="42"/>
        <v>105256.37743833876</v>
      </c>
      <c r="M39" s="70">
        <f t="shared" si="42"/>
        <v>409574.06839357619</v>
      </c>
      <c r="N39" s="70">
        <f t="shared" si="42"/>
        <v>407526.11885092058</v>
      </c>
      <c r="O39" s="70">
        <f t="shared" si="42"/>
        <v>405464.58696608775</v>
      </c>
      <c r="P39" s="70">
        <f t="shared" si="42"/>
        <v>403389.05198755767</v>
      </c>
      <c r="Q39" s="70">
        <f t="shared" si="42"/>
        <v>208032.44106004242</v>
      </c>
    </row>
    <row r="40" spans="2:17" ht="18" x14ac:dyDescent="0.25">
      <c r="D40" s="72"/>
    </row>
    <row r="41" spans="2:17" x14ac:dyDescent="0.2">
      <c r="B41" s="23" t="s">
        <v>10</v>
      </c>
      <c r="C41" s="15"/>
      <c r="D41" s="78">
        <v>0</v>
      </c>
      <c r="E41" s="58">
        <f>IF(E39&lt;=0,0,-E39*$D$41)</f>
        <v>0</v>
      </c>
      <c r="F41" s="58">
        <f t="shared" ref="F41:Q41" si="43">IF(F39&lt;=0,0,-F39*$D$41)</f>
        <v>0</v>
      </c>
      <c r="G41" s="58">
        <f t="shared" si="43"/>
        <v>0</v>
      </c>
      <c r="H41" s="58">
        <f t="shared" si="43"/>
        <v>0</v>
      </c>
      <c r="I41" s="58">
        <f t="shared" si="43"/>
        <v>0</v>
      </c>
      <c r="J41" s="58">
        <f t="shared" si="43"/>
        <v>0</v>
      </c>
      <c r="K41" s="58">
        <f t="shared" si="43"/>
        <v>0</v>
      </c>
      <c r="L41" s="58">
        <f t="shared" si="43"/>
        <v>0</v>
      </c>
      <c r="M41" s="58">
        <f t="shared" si="43"/>
        <v>0</v>
      </c>
      <c r="N41" s="58">
        <f t="shared" si="43"/>
        <v>0</v>
      </c>
      <c r="O41" s="58">
        <f t="shared" si="43"/>
        <v>0</v>
      </c>
      <c r="P41" s="58">
        <f t="shared" si="43"/>
        <v>0</v>
      </c>
      <c r="Q41" s="58">
        <f t="shared" si="43"/>
        <v>0</v>
      </c>
    </row>
    <row r="42" spans="2:17" x14ac:dyDescent="0.2">
      <c r="B42" s="74" t="s">
        <v>11</v>
      </c>
      <c r="C42" s="75"/>
      <c r="D42" s="79">
        <v>0</v>
      </c>
      <c r="E42" s="77">
        <f>IF(E39&lt;=0,0,-E39*$D$42)</f>
        <v>0</v>
      </c>
      <c r="F42" s="77">
        <f t="shared" ref="F42:Q42" si="44">IF(F39&lt;=0,0,-F39*$D$42)</f>
        <v>0</v>
      </c>
      <c r="G42" s="77">
        <f t="shared" si="44"/>
        <v>0</v>
      </c>
      <c r="H42" s="77">
        <f t="shared" si="44"/>
        <v>0</v>
      </c>
      <c r="I42" s="77">
        <f t="shared" si="44"/>
        <v>0</v>
      </c>
      <c r="J42" s="77">
        <f t="shared" si="44"/>
        <v>0</v>
      </c>
      <c r="K42" s="77">
        <f t="shared" si="44"/>
        <v>0</v>
      </c>
      <c r="L42" s="77">
        <f t="shared" si="44"/>
        <v>0</v>
      </c>
      <c r="M42" s="77">
        <f t="shared" si="44"/>
        <v>0</v>
      </c>
      <c r="N42" s="77">
        <f t="shared" si="44"/>
        <v>0</v>
      </c>
      <c r="O42" s="77">
        <f t="shared" si="44"/>
        <v>0</v>
      </c>
      <c r="P42" s="77">
        <f t="shared" si="44"/>
        <v>0</v>
      </c>
      <c r="Q42" s="77">
        <f t="shared" si="44"/>
        <v>0</v>
      </c>
    </row>
    <row r="43" spans="2:17" ht="18" x14ac:dyDescent="0.25">
      <c r="D43" s="72"/>
    </row>
    <row r="44" spans="2:17" s="71" customFormat="1" ht="15.75" x14ac:dyDescent="0.25">
      <c r="B44" s="67" t="s">
        <v>48</v>
      </c>
      <c r="C44" s="68"/>
      <c r="D44" s="69"/>
      <c r="E44" s="70">
        <f>E39+E41+E42</f>
        <v>24546.377608767129</v>
      </c>
      <c r="F44" s="70">
        <f t="shared" ref="F44:Q44" si="45">F39+F41+F42</f>
        <v>22592.969508502109</v>
      </c>
      <c r="G44" s="70">
        <f t="shared" si="45"/>
        <v>20629.039963796793</v>
      </c>
      <c r="H44" s="70">
        <f t="shared" si="45"/>
        <v>18654.234352719795</v>
      </c>
      <c r="I44" s="70">
        <f t="shared" si="45"/>
        <v>49168.190401594562</v>
      </c>
      <c r="J44" s="70">
        <f t="shared" si="45"/>
        <v>47170.53801683971</v>
      </c>
      <c r="K44" s="70">
        <f t="shared" si="45"/>
        <v>45160.899113206484</v>
      </c>
      <c r="L44" s="70">
        <f t="shared" si="45"/>
        <v>105256.37743833876</v>
      </c>
      <c r="M44" s="70">
        <f t="shared" si="45"/>
        <v>409574.06839357619</v>
      </c>
      <c r="N44" s="70">
        <f t="shared" si="45"/>
        <v>407526.11885092058</v>
      </c>
      <c r="O44" s="70">
        <f t="shared" si="45"/>
        <v>405464.58696608775</v>
      </c>
      <c r="P44" s="70">
        <f t="shared" si="45"/>
        <v>403389.05198755767</v>
      </c>
      <c r="Q44" s="70">
        <f t="shared" si="45"/>
        <v>208032.44106004242</v>
      </c>
    </row>
    <row r="45" spans="2:17" ht="18" x14ac:dyDescent="0.25">
      <c r="D45" s="72"/>
    </row>
    <row r="46" spans="2:17" s="71" customFormat="1" ht="15.75" x14ac:dyDescent="0.25">
      <c r="B46" s="67" t="s">
        <v>51</v>
      </c>
      <c r="C46" s="68"/>
      <c r="D46" s="69"/>
      <c r="E46" s="70">
        <f t="shared" ref="E46:Q46" si="46">E44/((1+$C$2)^E4)</f>
        <v>23831.434571618571</v>
      </c>
      <c r="F46" s="70">
        <f t="shared" si="46"/>
        <v>21296.040633897737</v>
      </c>
      <c r="G46" s="70">
        <f t="shared" si="46"/>
        <v>18878.493863331641</v>
      </c>
      <c r="H46" s="70">
        <f t="shared" si="46"/>
        <v>16574.045611175443</v>
      </c>
      <c r="I46" s="70">
        <f t="shared" si="46"/>
        <v>42412.91295268861</v>
      </c>
      <c r="J46" s="70">
        <f t="shared" si="46"/>
        <v>39504.582968401068</v>
      </c>
      <c r="K46" s="70">
        <f t="shared" si="46"/>
        <v>36719.943713581786</v>
      </c>
      <c r="L46" s="70">
        <f t="shared" si="46"/>
        <v>83090.356320257633</v>
      </c>
      <c r="M46" s="70">
        <f t="shared" si="46"/>
        <v>313904.41915088985</v>
      </c>
      <c r="N46" s="70">
        <f t="shared" si="46"/>
        <v>303237.70519844961</v>
      </c>
      <c r="O46" s="70">
        <f t="shared" si="46"/>
        <v>292916.244531631</v>
      </c>
      <c r="P46" s="70">
        <f t="shared" si="46"/>
        <v>282928.96495419025</v>
      </c>
      <c r="Q46" s="70">
        <f t="shared" si="46"/>
        <v>141659.96950188768</v>
      </c>
    </row>
    <row r="47" spans="2:17" ht="18.75" thickBot="1" x14ac:dyDescent="0.3">
      <c r="D47" s="72"/>
    </row>
    <row r="48" spans="2:17" ht="18" x14ac:dyDescent="0.25">
      <c r="B48" s="80" t="s">
        <v>52</v>
      </c>
      <c r="C48" s="81">
        <f>SUM(E46:Q46)</f>
        <v>1616955.1139720008</v>
      </c>
      <c r="D48" s="72"/>
      <c r="E48" s="82" t="s">
        <v>71</v>
      </c>
      <c r="F48" s="83">
        <v>0.61599999999999999</v>
      </c>
      <c r="G48" s="84">
        <f>C48</f>
        <v>1616955.1139720008</v>
      </c>
    </row>
    <row r="49" spans="2:8" ht="18" customHeight="1" thickBot="1" x14ac:dyDescent="0.3">
      <c r="B49" s="85" t="s">
        <v>53</v>
      </c>
      <c r="C49" s="86">
        <f>INVESTITORE!D4</f>
        <v>1500000</v>
      </c>
      <c r="E49" s="87" t="s">
        <v>72</v>
      </c>
      <c r="F49" s="88">
        <v>0.28799999999999998</v>
      </c>
      <c r="G49" s="89">
        <f>'SCENARIO_RIDUZIONE_20%'!C50</f>
        <v>661675.39338172087</v>
      </c>
    </row>
    <row r="50" spans="2:8" ht="18" customHeight="1" x14ac:dyDescent="0.2">
      <c r="E50" s="87" t="s">
        <v>73</v>
      </c>
      <c r="F50" s="88">
        <v>7.6999999999999999E-2</v>
      </c>
      <c r="G50" s="89">
        <f>'SCENARIO_RIDUZIONE_80%'!C50</f>
        <v>-2114230.0380029278</v>
      </c>
    </row>
    <row r="51" spans="2:8" ht="18" x14ac:dyDescent="0.25">
      <c r="D51" s="72"/>
      <c r="E51" s="90" t="s">
        <v>74</v>
      </c>
      <c r="F51" s="88">
        <v>1.9E-2</v>
      </c>
      <c r="G51" s="89">
        <f>SCENARIO_REVOCA!B5</f>
        <v>-6020351.5503258333</v>
      </c>
    </row>
    <row r="52" spans="2:8" ht="18.75" thickBot="1" x14ac:dyDescent="0.3">
      <c r="D52" s="72"/>
      <c r="E52" s="91"/>
      <c r="F52" s="92">
        <f>SUM(F48:F51)</f>
        <v>0.99999999999999989</v>
      </c>
      <c r="G52" s="93">
        <f>F48*G48+F49*G49+F50*G50+F51*G51</f>
        <v>909424.4711182717</v>
      </c>
      <c r="H52" s="9" t="s">
        <v>66</v>
      </c>
    </row>
    <row r="53" spans="2:8" ht="18" x14ac:dyDescent="0.25">
      <c r="D53" s="72"/>
    </row>
    <row r="54" spans="2:8" ht="18" x14ac:dyDescent="0.25">
      <c r="D54" s="72"/>
    </row>
    <row r="55" spans="2:8" ht="18" x14ac:dyDescent="0.25">
      <c r="D55" s="72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35"/>
  <sheetViews>
    <sheetView showGridLines="0" zoomScale="80" zoomScaleNormal="80" workbookViewId="0">
      <pane xSplit="4" ySplit="4" topLeftCell="E5" activePane="bottomRight" state="frozenSplit"/>
      <selection pane="topRight" activeCell="E1" sqref="E1"/>
      <selection pane="bottomLeft" activeCell="A6" sqref="A6"/>
      <selection pane="bottomRight" activeCell="J9" sqref="J9"/>
    </sheetView>
  </sheetViews>
  <sheetFormatPr defaultColWidth="11.42578125" defaultRowHeight="14.25" x14ac:dyDescent="0.2"/>
  <cols>
    <col min="1" max="1" width="11.42578125" style="9"/>
    <col min="2" max="2" width="43" style="9" bestFit="1" customWidth="1"/>
    <col min="3" max="3" width="12" style="9" bestFit="1" customWidth="1"/>
    <col min="4" max="4" width="15.7109375" style="9" bestFit="1" customWidth="1"/>
    <col min="5" max="5" width="16.28515625" style="9" bestFit="1" customWidth="1"/>
    <col min="6" max="17" width="20.85546875" style="9" customWidth="1"/>
    <col min="18" max="253" width="11.42578125" style="9"/>
    <col min="254" max="254" width="25" style="9" customWidth="1"/>
    <col min="255" max="255" width="29.7109375" style="9" customWidth="1"/>
    <col min="256" max="256" width="30.85546875" style="9" customWidth="1"/>
    <col min="257" max="273" width="20.85546875" style="9" customWidth="1"/>
    <col min="274" max="509" width="11.42578125" style="9"/>
    <col min="510" max="510" width="25" style="9" customWidth="1"/>
    <col min="511" max="511" width="29.7109375" style="9" customWidth="1"/>
    <col min="512" max="512" width="30.85546875" style="9" customWidth="1"/>
    <col min="513" max="529" width="20.85546875" style="9" customWidth="1"/>
    <col min="530" max="765" width="11.42578125" style="9"/>
    <col min="766" max="766" width="25" style="9" customWidth="1"/>
    <col min="767" max="767" width="29.7109375" style="9" customWidth="1"/>
    <col min="768" max="768" width="30.85546875" style="9" customWidth="1"/>
    <col min="769" max="785" width="20.85546875" style="9" customWidth="1"/>
    <col min="786" max="1021" width="11.42578125" style="9"/>
    <col min="1022" max="1022" width="25" style="9" customWidth="1"/>
    <col min="1023" max="1023" width="29.7109375" style="9" customWidth="1"/>
    <col min="1024" max="1024" width="30.85546875" style="9" customWidth="1"/>
    <col min="1025" max="1041" width="20.85546875" style="9" customWidth="1"/>
    <col min="1042" max="1277" width="11.42578125" style="9"/>
    <col min="1278" max="1278" width="25" style="9" customWidth="1"/>
    <col min="1279" max="1279" width="29.7109375" style="9" customWidth="1"/>
    <col min="1280" max="1280" width="30.85546875" style="9" customWidth="1"/>
    <col min="1281" max="1297" width="20.85546875" style="9" customWidth="1"/>
    <col min="1298" max="1533" width="11.42578125" style="9"/>
    <col min="1534" max="1534" width="25" style="9" customWidth="1"/>
    <col min="1535" max="1535" width="29.7109375" style="9" customWidth="1"/>
    <col min="1536" max="1536" width="30.85546875" style="9" customWidth="1"/>
    <col min="1537" max="1553" width="20.85546875" style="9" customWidth="1"/>
    <col min="1554" max="1789" width="11.42578125" style="9"/>
    <col min="1790" max="1790" width="25" style="9" customWidth="1"/>
    <col min="1791" max="1791" width="29.7109375" style="9" customWidth="1"/>
    <col min="1792" max="1792" width="30.85546875" style="9" customWidth="1"/>
    <col min="1793" max="1809" width="20.85546875" style="9" customWidth="1"/>
    <col min="1810" max="2045" width="11.42578125" style="9"/>
    <col min="2046" max="2046" width="25" style="9" customWidth="1"/>
    <col min="2047" max="2047" width="29.7109375" style="9" customWidth="1"/>
    <col min="2048" max="2048" width="30.85546875" style="9" customWidth="1"/>
    <col min="2049" max="2065" width="20.85546875" style="9" customWidth="1"/>
    <col min="2066" max="2301" width="11.42578125" style="9"/>
    <col min="2302" max="2302" width="25" style="9" customWidth="1"/>
    <col min="2303" max="2303" width="29.7109375" style="9" customWidth="1"/>
    <col min="2304" max="2304" width="30.85546875" style="9" customWidth="1"/>
    <col min="2305" max="2321" width="20.85546875" style="9" customWidth="1"/>
    <col min="2322" max="2557" width="11.42578125" style="9"/>
    <col min="2558" max="2558" width="25" style="9" customWidth="1"/>
    <col min="2559" max="2559" width="29.7109375" style="9" customWidth="1"/>
    <col min="2560" max="2560" width="30.85546875" style="9" customWidth="1"/>
    <col min="2561" max="2577" width="20.85546875" style="9" customWidth="1"/>
    <col min="2578" max="2813" width="11.42578125" style="9"/>
    <col min="2814" max="2814" width="25" style="9" customWidth="1"/>
    <col min="2815" max="2815" width="29.7109375" style="9" customWidth="1"/>
    <col min="2816" max="2816" width="30.85546875" style="9" customWidth="1"/>
    <col min="2817" max="2833" width="20.85546875" style="9" customWidth="1"/>
    <col min="2834" max="3069" width="11.42578125" style="9"/>
    <col min="3070" max="3070" width="25" style="9" customWidth="1"/>
    <col min="3071" max="3071" width="29.7109375" style="9" customWidth="1"/>
    <col min="3072" max="3072" width="30.85546875" style="9" customWidth="1"/>
    <col min="3073" max="3089" width="20.85546875" style="9" customWidth="1"/>
    <col min="3090" max="3325" width="11.42578125" style="9"/>
    <col min="3326" max="3326" width="25" style="9" customWidth="1"/>
    <col min="3327" max="3327" width="29.7109375" style="9" customWidth="1"/>
    <col min="3328" max="3328" width="30.85546875" style="9" customWidth="1"/>
    <col min="3329" max="3345" width="20.85546875" style="9" customWidth="1"/>
    <col min="3346" max="3581" width="11.42578125" style="9"/>
    <col min="3582" max="3582" width="25" style="9" customWidth="1"/>
    <col min="3583" max="3583" width="29.7109375" style="9" customWidth="1"/>
    <col min="3584" max="3584" width="30.85546875" style="9" customWidth="1"/>
    <col min="3585" max="3601" width="20.85546875" style="9" customWidth="1"/>
    <col min="3602" max="3837" width="11.42578125" style="9"/>
    <col min="3838" max="3838" width="25" style="9" customWidth="1"/>
    <col min="3839" max="3839" width="29.7109375" style="9" customWidth="1"/>
    <col min="3840" max="3840" width="30.85546875" style="9" customWidth="1"/>
    <col min="3841" max="3857" width="20.85546875" style="9" customWidth="1"/>
    <col min="3858" max="4093" width="11.42578125" style="9"/>
    <col min="4094" max="4094" width="25" style="9" customWidth="1"/>
    <col min="4095" max="4095" width="29.7109375" style="9" customWidth="1"/>
    <col min="4096" max="4096" width="30.85546875" style="9" customWidth="1"/>
    <col min="4097" max="4113" width="20.85546875" style="9" customWidth="1"/>
    <col min="4114" max="4349" width="11.42578125" style="9"/>
    <col min="4350" max="4350" width="25" style="9" customWidth="1"/>
    <col min="4351" max="4351" width="29.7109375" style="9" customWidth="1"/>
    <col min="4352" max="4352" width="30.85546875" style="9" customWidth="1"/>
    <col min="4353" max="4369" width="20.85546875" style="9" customWidth="1"/>
    <col min="4370" max="4605" width="11.42578125" style="9"/>
    <col min="4606" max="4606" width="25" style="9" customWidth="1"/>
    <col min="4607" max="4607" width="29.7109375" style="9" customWidth="1"/>
    <col min="4608" max="4608" width="30.85546875" style="9" customWidth="1"/>
    <col min="4609" max="4625" width="20.85546875" style="9" customWidth="1"/>
    <col min="4626" max="4861" width="11.42578125" style="9"/>
    <col min="4862" max="4862" width="25" style="9" customWidth="1"/>
    <col min="4863" max="4863" width="29.7109375" style="9" customWidth="1"/>
    <col min="4864" max="4864" width="30.85546875" style="9" customWidth="1"/>
    <col min="4865" max="4881" width="20.85546875" style="9" customWidth="1"/>
    <col min="4882" max="5117" width="11.42578125" style="9"/>
    <col min="5118" max="5118" width="25" style="9" customWidth="1"/>
    <col min="5119" max="5119" width="29.7109375" style="9" customWidth="1"/>
    <col min="5120" max="5120" width="30.85546875" style="9" customWidth="1"/>
    <col min="5121" max="5137" width="20.85546875" style="9" customWidth="1"/>
    <col min="5138" max="5373" width="11.42578125" style="9"/>
    <col min="5374" max="5374" width="25" style="9" customWidth="1"/>
    <col min="5375" max="5375" width="29.7109375" style="9" customWidth="1"/>
    <col min="5376" max="5376" width="30.85546875" style="9" customWidth="1"/>
    <col min="5377" max="5393" width="20.85546875" style="9" customWidth="1"/>
    <col min="5394" max="5629" width="11.42578125" style="9"/>
    <col min="5630" max="5630" width="25" style="9" customWidth="1"/>
    <col min="5631" max="5631" width="29.7109375" style="9" customWidth="1"/>
    <col min="5632" max="5632" width="30.85546875" style="9" customWidth="1"/>
    <col min="5633" max="5649" width="20.85546875" style="9" customWidth="1"/>
    <col min="5650" max="5885" width="11.42578125" style="9"/>
    <col min="5886" max="5886" width="25" style="9" customWidth="1"/>
    <col min="5887" max="5887" width="29.7109375" style="9" customWidth="1"/>
    <col min="5888" max="5888" width="30.85546875" style="9" customWidth="1"/>
    <col min="5889" max="5905" width="20.85546875" style="9" customWidth="1"/>
    <col min="5906" max="6141" width="11.42578125" style="9"/>
    <col min="6142" max="6142" width="25" style="9" customWidth="1"/>
    <col min="6143" max="6143" width="29.7109375" style="9" customWidth="1"/>
    <col min="6144" max="6144" width="30.85546875" style="9" customWidth="1"/>
    <col min="6145" max="6161" width="20.85546875" style="9" customWidth="1"/>
    <col min="6162" max="6397" width="11.42578125" style="9"/>
    <col min="6398" max="6398" width="25" style="9" customWidth="1"/>
    <col min="6399" max="6399" width="29.7109375" style="9" customWidth="1"/>
    <col min="6400" max="6400" width="30.85546875" style="9" customWidth="1"/>
    <col min="6401" max="6417" width="20.85546875" style="9" customWidth="1"/>
    <col min="6418" max="6653" width="11.42578125" style="9"/>
    <col min="6654" max="6654" width="25" style="9" customWidth="1"/>
    <col min="6655" max="6655" width="29.7109375" style="9" customWidth="1"/>
    <col min="6656" max="6656" width="30.85546875" style="9" customWidth="1"/>
    <col min="6657" max="6673" width="20.85546875" style="9" customWidth="1"/>
    <col min="6674" max="6909" width="11.42578125" style="9"/>
    <col min="6910" max="6910" width="25" style="9" customWidth="1"/>
    <col min="6911" max="6911" width="29.7109375" style="9" customWidth="1"/>
    <col min="6912" max="6912" width="30.85546875" style="9" customWidth="1"/>
    <col min="6913" max="6929" width="20.85546875" style="9" customWidth="1"/>
    <col min="6930" max="7165" width="11.42578125" style="9"/>
    <col min="7166" max="7166" width="25" style="9" customWidth="1"/>
    <col min="7167" max="7167" width="29.7109375" style="9" customWidth="1"/>
    <col min="7168" max="7168" width="30.85546875" style="9" customWidth="1"/>
    <col min="7169" max="7185" width="20.85546875" style="9" customWidth="1"/>
    <col min="7186" max="7421" width="11.42578125" style="9"/>
    <col min="7422" max="7422" width="25" style="9" customWidth="1"/>
    <col min="7423" max="7423" width="29.7109375" style="9" customWidth="1"/>
    <col min="7424" max="7424" width="30.85546875" style="9" customWidth="1"/>
    <col min="7425" max="7441" width="20.85546875" style="9" customWidth="1"/>
    <col min="7442" max="7677" width="11.42578125" style="9"/>
    <col min="7678" max="7678" width="25" style="9" customWidth="1"/>
    <col min="7679" max="7679" width="29.7109375" style="9" customWidth="1"/>
    <col min="7680" max="7680" width="30.85546875" style="9" customWidth="1"/>
    <col min="7681" max="7697" width="20.85546875" style="9" customWidth="1"/>
    <col min="7698" max="7933" width="11.42578125" style="9"/>
    <col min="7934" max="7934" width="25" style="9" customWidth="1"/>
    <col min="7935" max="7935" width="29.7109375" style="9" customWidth="1"/>
    <col min="7936" max="7936" width="30.85546875" style="9" customWidth="1"/>
    <col min="7937" max="7953" width="20.85546875" style="9" customWidth="1"/>
    <col min="7954" max="8189" width="11.42578125" style="9"/>
    <col min="8190" max="8190" width="25" style="9" customWidth="1"/>
    <col min="8191" max="8191" width="29.7109375" style="9" customWidth="1"/>
    <col min="8192" max="8192" width="30.85546875" style="9" customWidth="1"/>
    <col min="8193" max="8209" width="20.85546875" style="9" customWidth="1"/>
    <col min="8210" max="8445" width="11.42578125" style="9"/>
    <col min="8446" max="8446" width="25" style="9" customWidth="1"/>
    <col min="8447" max="8447" width="29.7109375" style="9" customWidth="1"/>
    <col min="8448" max="8448" width="30.85546875" style="9" customWidth="1"/>
    <col min="8449" max="8465" width="20.85546875" style="9" customWidth="1"/>
    <col min="8466" max="8701" width="11.42578125" style="9"/>
    <col min="8702" max="8702" width="25" style="9" customWidth="1"/>
    <col min="8703" max="8703" width="29.7109375" style="9" customWidth="1"/>
    <col min="8704" max="8704" width="30.85546875" style="9" customWidth="1"/>
    <col min="8705" max="8721" width="20.85546875" style="9" customWidth="1"/>
    <col min="8722" max="8957" width="11.42578125" style="9"/>
    <col min="8958" max="8958" width="25" style="9" customWidth="1"/>
    <col min="8959" max="8959" width="29.7109375" style="9" customWidth="1"/>
    <col min="8960" max="8960" width="30.85546875" style="9" customWidth="1"/>
    <col min="8961" max="8977" width="20.85546875" style="9" customWidth="1"/>
    <col min="8978" max="9213" width="11.42578125" style="9"/>
    <col min="9214" max="9214" width="25" style="9" customWidth="1"/>
    <col min="9215" max="9215" width="29.7109375" style="9" customWidth="1"/>
    <col min="9216" max="9216" width="30.85546875" style="9" customWidth="1"/>
    <col min="9217" max="9233" width="20.85546875" style="9" customWidth="1"/>
    <col min="9234" max="9469" width="11.42578125" style="9"/>
    <col min="9470" max="9470" width="25" style="9" customWidth="1"/>
    <col min="9471" max="9471" width="29.7109375" style="9" customWidth="1"/>
    <col min="9472" max="9472" width="30.85546875" style="9" customWidth="1"/>
    <col min="9473" max="9489" width="20.85546875" style="9" customWidth="1"/>
    <col min="9490" max="9725" width="11.42578125" style="9"/>
    <col min="9726" max="9726" width="25" style="9" customWidth="1"/>
    <col min="9727" max="9727" width="29.7109375" style="9" customWidth="1"/>
    <col min="9728" max="9728" width="30.85546875" style="9" customWidth="1"/>
    <col min="9729" max="9745" width="20.85546875" style="9" customWidth="1"/>
    <col min="9746" max="9981" width="11.42578125" style="9"/>
    <col min="9982" max="9982" width="25" style="9" customWidth="1"/>
    <col min="9983" max="9983" width="29.7109375" style="9" customWidth="1"/>
    <col min="9984" max="9984" width="30.85546875" style="9" customWidth="1"/>
    <col min="9985" max="10001" width="20.85546875" style="9" customWidth="1"/>
    <col min="10002" max="10237" width="11.42578125" style="9"/>
    <col min="10238" max="10238" width="25" style="9" customWidth="1"/>
    <col min="10239" max="10239" width="29.7109375" style="9" customWidth="1"/>
    <col min="10240" max="10240" width="30.85546875" style="9" customWidth="1"/>
    <col min="10241" max="10257" width="20.85546875" style="9" customWidth="1"/>
    <col min="10258" max="10493" width="11.42578125" style="9"/>
    <col min="10494" max="10494" width="25" style="9" customWidth="1"/>
    <col min="10495" max="10495" width="29.7109375" style="9" customWidth="1"/>
    <col min="10496" max="10496" width="30.85546875" style="9" customWidth="1"/>
    <col min="10497" max="10513" width="20.85546875" style="9" customWidth="1"/>
    <col min="10514" max="10749" width="11.42578125" style="9"/>
    <col min="10750" max="10750" width="25" style="9" customWidth="1"/>
    <col min="10751" max="10751" width="29.7109375" style="9" customWidth="1"/>
    <col min="10752" max="10752" width="30.85546875" style="9" customWidth="1"/>
    <col min="10753" max="10769" width="20.85546875" style="9" customWidth="1"/>
    <col min="10770" max="11005" width="11.42578125" style="9"/>
    <col min="11006" max="11006" width="25" style="9" customWidth="1"/>
    <col min="11007" max="11007" width="29.7109375" style="9" customWidth="1"/>
    <col min="11008" max="11008" width="30.85546875" style="9" customWidth="1"/>
    <col min="11009" max="11025" width="20.85546875" style="9" customWidth="1"/>
    <col min="11026" max="11261" width="11.42578125" style="9"/>
    <col min="11262" max="11262" width="25" style="9" customWidth="1"/>
    <col min="11263" max="11263" width="29.7109375" style="9" customWidth="1"/>
    <col min="11264" max="11264" width="30.85546875" style="9" customWidth="1"/>
    <col min="11265" max="11281" width="20.85546875" style="9" customWidth="1"/>
    <col min="11282" max="11517" width="11.42578125" style="9"/>
    <col min="11518" max="11518" width="25" style="9" customWidth="1"/>
    <col min="11519" max="11519" width="29.7109375" style="9" customWidth="1"/>
    <col min="11520" max="11520" width="30.85546875" style="9" customWidth="1"/>
    <col min="11521" max="11537" width="20.85546875" style="9" customWidth="1"/>
    <col min="11538" max="11773" width="11.42578125" style="9"/>
    <col min="11774" max="11774" width="25" style="9" customWidth="1"/>
    <col min="11775" max="11775" width="29.7109375" style="9" customWidth="1"/>
    <col min="11776" max="11776" width="30.85546875" style="9" customWidth="1"/>
    <col min="11777" max="11793" width="20.85546875" style="9" customWidth="1"/>
    <col min="11794" max="12029" width="11.42578125" style="9"/>
    <col min="12030" max="12030" width="25" style="9" customWidth="1"/>
    <col min="12031" max="12031" width="29.7109375" style="9" customWidth="1"/>
    <col min="12032" max="12032" width="30.85546875" style="9" customWidth="1"/>
    <col min="12033" max="12049" width="20.85546875" style="9" customWidth="1"/>
    <col min="12050" max="12285" width="11.42578125" style="9"/>
    <col min="12286" max="12286" width="25" style="9" customWidth="1"/>
    <col min="12287" max="12287" width="29.7109375" style="9" customWidth="1"/>
    <col min="12288" max="12288" width="30.85546875" style="9" customWidth="1"/>
    <col min="12289" max="12305" width="20.85546875" style="9" customWidth="1"/>
    <col min="12306" max="12541" width="11.42578125" style="9"/>
    <col min="12542" max="12542" width="25" style="9" customWidth="1"/>
    <col min="12543" max="12543" width="29.7109375" style="9" customWidth="1"/>
    <col min="12544" max="12544" width="30.85546875" style="9" customWidth="1"/>
    <col min="12545" max="12561" width="20.85546875" style="9" customWidth="1"/>
    <col min="12562" max="12797" width="11.42578125" style="9"/>
    <col min="12798" max="12798" width="25" style="9" customWidth="1"/>
    <col min="12799" max="12799" width="29.7109375" style="9" customWidth="1"/>
    <col min="12800" max="12800" width="30.85546875" style="9" customWidth="1"/>
    <col min="12801" max="12817" width="20.85546875" style="9" customWidth="1"/>
    <col min="12818" max="13053" width="11.42578125" style="9"/>
    <col min="13054" max="13054" width="25" style="9" customWidth="1"/>
    <col min="13055" max="13055" width="29.7109375" style="9" customWidth="1"/>
    <col min="13056" max="13056" width="30.85546875" style="9" customWidth="1"/>
    <col min="13057" max="13073" width="20.85546875" style="9" customWidth="1"/>
    <col min="13074" max="13309" width="11.42578125" style="9"/>
    <col min="13310" max="13310" width="25" style="9" customWidth="1"/>
    <col min="13311" max="13311" width="29.7109375" style="9" customWidth="1"/>
    <col min="13312" max="13312" width="30.85546875" style="9" customWidth="1"/>
    <col min="13313" max="13329" width="20.85546875" style="9" customWidth="1"/>
    <col min="13330" max="13565" width="11.42578125" style="9"/>
    <col min="13566" max="13566" width="25" style="9" customWidth="1"/>
    <col min="13567" max="13567" width="29.7109375" style="9" customWidth="1"/>
    <col min="13568" max="13568" width="30.85546875" style="9" customWidth="1"/>
    <col min="13569" max="13585" width="20.85546875" style="9" customWidth="1"/>
    <col min="13586" max="13821" width="11.42578125" style="9"/>
    <col min="13822" max="13822" width="25" style="9" customWidth="1"/>
    <col min="13823" max="13823" width="29.7109375" style="9" customWidth="1"/>
    <col min="13824" max="13824" width="30.85546875" style="9" customWidth="1"/>
    <col min="13825" max="13841" width="20.85546875" style="9" customWidth="1"/>
    <col min="13842" max="14077" width="11.42578125" style="9"/>
    <col min="14078" max="14078" width="25" style="9" customWidth="1"/>
    <col min="14079" max="14079" width="29.7109375" style="9" customWidth="1"/>
    <col min="14080" max="14080" width="30.85546875" style="9" customWidth="1"/>
    <col min="14081" max="14097" width="20.85546875" style="9" customWidth="1"/>
    <col min="14098" max="14333" width="11.42578125" style="9"/>
    <col min="14334" max="14334" width="25" style="9" customWidth="1"/>
    <col min="14335" max="14335" width="29.7109375" style="9" customWidth="1"/>
    <col min="14336" max="14336" width="30.85546875" style="9" customWidth="1"/>
    <col min="14337" max="14353" width="20.85546875" style="9" customWidth="1"/>
    <col min="14354" max="14589" width="11.42578125" style="9"/>
    <col min="14590" max="14590" width="25" style="9" customWidth="1"/>
    <col min="14591" max="14591" width="29.7109375" style="9" customWidth="1"/>
    <col min="14592" max="14592" width="30.85546875" style="9" customWidth="1"/>
    <col min="14593" max="14609" width="20.85546875" style="9" customWidth="1"/>
    <col min="14610" max="14845" width="11.42578125" style="9"/>
    <col min="14846" max="14846" width="25" style="9" customWidth="1"/>
    <col min="14847" max="14847" width="29.7109375" style="9" customWidth="1"/>
    <col min="14848" max="14848" width="30.85546875" style="9" customWidth="1"/>
    <col min="14849" max="14865" width="20.85546875" style="9" customWidth="1"/>
    <col min="14866" max="15101" width="11.42578125" style="9"/>
    <col min="15102" max="15102" width="25" style="9" customWidth="1"/>
    <col min="15103" max="15103" width="29.7109375" style="9" customWidth="1"/>
    <col min="15104" max="15104" width="30.85546875" style="9" customWidth="1"/>
    <col min="15105" max="15121" width="20.85546875" style="9" customWidth="1"/>
    <col min="15122" max="15357" width="11.42578125" style="9"/>
    <col min="15358" max="15358" width="25" style="9" customWidth="1"/>
    <col min="15359" max="15359" width="29.7109375" style="9" customWidth="1"/>
    <col min="15360" max="15360" width="30.85546875" style="9" customWidth="1"/>
    <col min="15361" max="15377" width="20.85546875" style="9" customWidth="1"/>
    <col min="15378" max="15613" width="11.42578125" style="9"/>
    <col min="15614" max="15614" width="25" style="9" customWidth="1"/>
    <col min="15615" max="15615" width="29.7109375" style="9" customWidth="1"/>
    <col min="15616" max="15616" width="30.85546875" style="9" customWidth="1"/>
    <col min="15617" max="15633" width="20.85546875" style="9" customWidth="1"/>
    <col min="15634" max="15869" width="11.42578125" style="9"/>
    <col min="15870" max="15870" width="25" style="9" customWidth="1"/>
    <col min="15871" max="15871" width="29.7109375" style="9" customWidth="1"/>
    <col min="15872" max="15872" width="30.85546875" style="9" customWidth="1"/>
    <col min="15873" max="15889" width="20.85546875" style="9" customWidth="1"/>
    <col min="15890" max="16125" width="11.42578125" style="9"/>
    <col min="16126" max="16126" width="25" style="9" customWidth="1"/>
    <col min="16127" max="16127" width="29.7109375" style="9" customWidth="1"/>
    <col min="16128" max="16128" width="30.85546875" style="9" customWidth="1"/>
    <col min="16129" max="16145" width="20.85546875" style="9" customWidth="1"/>
    <col min="16146" max="16384" width="11.42578125" style="9"/>
  </cols>
  <sheetData>
    <row r="2" spans="1:17" s="14" customFormat="1" x14ac:dyDescent="0.2">
      <c r="E2" s="14">
        <v>1</v>
      </c>
      <c r="F2" s="14">
        <v>2</v>
      </c>
      <c r="G2" s="14">
        <v>3</v>
      </c>
      <c r="H2" s="14">
        <v>4</v>
      </c>
      <c r="I2" s="14">
        <v>5</v>
      </c>
      <c r="J2" s="14">
        <v>6</v>
      </c>
      <c r="K2" s="14">
        <v>7</v>
      </c>
      <c r="L2" s="14">
        <v>8</v>
      </c>
      <c r="M2" s="14">
        <v>9</v>
      </c>
      <c r="N2" s="14">
        <v>10</v>
      </c>
      <c r="O2" s="14">
        <v>11</v>
      </c>
      <c r="P2" s="14">
        <v>12</v>
      </c>
      <c r="Q2" s="14">
        <v>13</v>
      </c>
    </row>
    <row r="3" spans="1:17" ht="15.75" thickBot="1" x14ac:dyDescent="0.3">
      <c r="C3" s="15" t="s">
        <v>0</v>
      </c>
      <c r="D3" s="14" t="s">
        <v>1</v>
      </c>
      <c r="E3" s="94">
        <v>2019</v>
      </c>
      <c r="F3" s="95">
        <f t="shared" ref="F3:Q3" si="0">E3+1</f>
        <v>2020</v>
      </c>
      <c r="G3" s="95">
        <f t="shared" si="0"/>
        <v>2021</v>
      </c>
      <c r="H3" s="96">
        <f t="shared" si="0"/>
        <v>2022</v>
      </c>
      <c r="I3" s="96">
        <f t="shared" si="0"/>
        <v>2023</v>
      </c>
      <c r="J3" s="96">
        <f t="shared" si="0"/>
        <v>2024</v>
      </c>
      <c r="K3" s="96">
        <f t="shared" si="0"/>
        <v>2025</v>
      </c>
      <c r="L3" s="96">
        <f t="shared" si="0"/>
        <v>2026</v>
      </c>
      <c r="M3" s="96">
        <f t="shared" si="0"/>
        <v>2027</v>
      </c>
      <c r="N3" s="96">
        <f t="shared" si="0"/>
        <v>2028</v>
      </c>
      <c r="O3" s="96">
        <f t="shared" si="0"/>
        <v>2029</v>
      </c>
      <c r="P3" s="96">
        <f t="shared" si="0"/>
        <v>2030</v>
      </c>
      <c r="Q3" s="96">
        <f t="shared" si="0"/>
        <v>2031</v>
      </c>
    </row>
    <row r="4" spans="1:17" ht="15.75" thickBot="1" x14ac:dyDescent="0.3">
      <c r="B4" s="97" t="s">
        <v>59</v>
      </c>
      <c r="C4" s="103" t="s">
        <v>8</v>
      </c>
      <c r="D4" s="167">
        <v>1500000</v>
      </c>
      <c r="E4" s="166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ht="15" x14ac:dyDescent="0.25">
      <c r="B5" s="100" t="s">
        <v>32</v>
      </c>
      <c r="C5" s="101" t="s">
        <v>8</v>
      </c>
      <c r="D5" s="76"/>
      <c r="E5" s="77">
        <f>SCENARIO_AS_IS!E16+SCENARIO_AS_IS!E36+SCENARIO_AS_IS!E31</f>
        <v>163991.23775999999</v>
      </c>
      <c r="F5" s="77">
        <f>SCENARIO_AS_IS!F16+SCENARIO_AS_IS!F36+SCENARIO_AS_IS!F31</f>
        <v>163558.30745102401</v>
      </c>
      <c r="G5" s="77">
        <f>SCENARIO_AS_IS!G16+SCENARIO_AS_IS!G36+SCENARIO_AS_IS!G31</f>
        <v>163146.92013561103</v>
      </c>
      <c r="H5" s="77">
        <f>SCENARIO_AS_IS!H16+SCENARIO_AS_IS!H36+SCENARIO_AS_IS!H31</f>
        <v>162757.35412157309</v>
      </c>
      <c r="I5" s="77">
        <f>SCENARIO_AS_IS!I16+SCENARIO_AS_IS!I36+SCENARIO_AS_IS!I31</f>
        <v>162389.89269114792</v>
      </c>
      <c r="J5" s="77">
        <f>SCENARIO_AS_IS!J16+SCENARIO_AS_IS!J36+SCENARIO_AS_IS!J31</f>
        <v>162044.82418448635</v>
      </c>
      <c r="K5" s="77">
        <f>SCENARIO_AS_IS!K16+SCENARIO_AS_IS!K36+SCENARIO_AS_IS!K31</f>
        <v>161722.44208455557</v>
      </c>
      <c r="L5" s="77">
        <f>SCENARIO_AS_IS!L16+SCENARIO_AS_IS!L36+SCENARIO_AS_IS!L31</f>
        <v>223540.535103484</v>
      </c>
      <c r="M5" s="77">
        <f>SCENARIO_AS_IS!M16+SCENARIO_AS_IS!M36+SCENARIO_AS_IS!M31</f>
        <v>529616.89727037051</v>
      </c>
      <c r="N5" s="77">
        <f>SCENARIO_AS_IS!N16+SCENARIO_AS_IS!N36+SCENARIO_AS_IS!N31</f>
        <v>529364.3880205825</v>
      </c>
      <c r="O5" s="77">
        <f>SCENARIO_AS_IS!O16+SCENARIO_AS_IS!O36+SCENARIO_AS_IS!O31</f>
        <v>529135.79228657181</v>
      </c>
      <c r="P5" s="77">
        <f>SCENARIO_AS_IS!P16+SCENARIO_AS_IS!P36+SCENARIO_AS_IS!P31</f>
        <v>528931.43059022818</v>
      </c>
      <c r="Q5" s="77">
        <f>SCENARIO_AS_IS!Q16+SCENARIO_AS_IS!Q36+SCENARIO_AS_IS!Q31</f>
        <v>264375.81456840073</v>
      </c>
    </row>
    <row r="6" spans="1:17" ht="18.75" thickBot="1" x14ac:dyDescent="0.3">
      <c r="C6" s="14"/>
      <c r="D6" s="72"/>
    </row>
    <row r="7" spans="1:17" ht="15.75" thickBot="1" x14ac:dyDescent="0.3">
      <c r="B7" s="97" t="s">
        <v>55</v>
      </c>
      <c r="C7" s="103" t="s">
        <v>8</v>
      </c>
      <c r="D7" s="169">
        <v>0.15</v>
      </c>
      <c r="E7" s="168">
        <f>(SCENARIO_AS_IS!E32-SCENARIO_AS_IS!E25-SCENARIO_AS_IS!E31)*(1-INVESTITORE!$D$7)-50000-40000</f>
        <v>-195778.13112854795</v>
      </c>
      <c r="F7" s="102">
        <f>(SCENARIO_AS_IS!F32-SCENARIO_AS_IS!F25-SCENARIO_AS_IS!F31)*(1-INVESTITORE!$D$7)</f>
        <v>-106815.53725114359</v>
      </c>
      <c r="G7" s="102">
        <f>(SCENARIO_AS_IS!G32-SCENARIO_AS_IS!G25-SCENARIO_AS_IS!G31)*(1-INVESTITORE!$D$7)</f>
        <v>-107875.09814604212</v>
      </c>
      <c r="H7" s="102">
        <f>(SCENARIO_AS_IS!H32-SCENARIO_AS_IS!H25-SCENARIO_AS_IS!H31)*(1-INVESTITORE!$D$7)</f>
        <v>-108957.24980352534</v>
      </c>
      <c r="I7" s="102">
        <f>(SCENARIO_AS_IS!I32-SCENARIO_AS_IS!I25-SCENARIO_AS_IS!I31)*(1-INVESTITORE!$D$7)</f>
        <v>-82437.436906120318</v>
      </c>
      <c r="J7" s="102">
        <f>(SCENARIO_AS_IS!J32-SCENARIO_AS_IS!J25-SCENARIO_AS_IS!J31)*(1-INVESTITORE!$D$7)</f>
        <v>-83566.113001699618</v>
      </c>
      <c r="K7" s="102">
        <f>(SCENARIO_AS_IS!K32-SCENARIO_AS_IS!K25-SCENARIO_AS_IS!K31)*(1-INVESTITORE!$D$7)</f>
        <v>-84718.740680030736</v>
      </c>
      <c r="L7" s="102">
        <f>(SCENARIO_AS_IS!L32-SCENARIO_AS_IS!L25-SCENARIO_AS_IS!L31)*(1-INVESTITORE!$D$7)</f>
        <v>-85895.791752845136</v>
      </c>
      <c r="M7" s="102">
        <f>(SCENARIO_AS_IS!M32-SCENARIO_AS_IS!M25-SCENARIO_AS_IS!M31)*(1-INVESTITORE!$D$7)</f>
        <v>-87097.747437496262</v>
      </c>
      <c r="N7" s="102">
        <f>(SCENARIO_AS_IS!N32-SCENARIO_AS_IS!N25-SCENARIO_AS_IS!N31)*(1-INVESTITORE!$D$7)</f>
        <v>-88325.098544278153</v>
      </c>
      <c r="O7" s="102">
        <f>(SCENARIO_AS_IS!O32-SCENARIO_AS_IS!O25-SCENARIO_AS_IS!O31)*(1-INVESTITORE!$D$7)</f>
        <v>-89578.345667478294</v>
      </c>
      <c r="P7" s="102">
        <f>(SCENARIO_AS_IS!P32-SCENARIO_AS_IS!P25-SCENARIO_AS_IS!P31)*(1-INVESTITORE!$D$7)</f>
        <v>-90857.999380238092</v>
      </c>
      <c r="Q7" s="102">
        <f>(SCENARIO_AS_IS!Q32-SCENARIO_AS_IS!Q25-SCENARIO_AS_IS!Q31)*(1-INVESTITORE!$D$7)-30000</f>
        <v>-69806.826041768363</v>
      </c>
    </row>
    <row r="8" spans="1:17" ht="15.75" thickBot="1" x14ac:dyDescent="0.3">
      <c r="A8" s="172" t="s">
        <v>82</v>
      </c>
      <c r="B8" s="97" t="s">
        <v>81</v>
      </c>
      <c r="C8" s="173" t="s">
        <v>82</v>
      </c>
      <c r="D8" s="174">
        <v>0</v>
      </c>
    </row>
    <row r="9" spans="1:17" ht="15.75" thickBot="1" x14ac:dyDescent="0.3">
      <c r="A9" s="172" t="s">
        <v>83</v>
      </c>
      <c r="B9" s="97" t="s">
        <v>56</v>
      </c>
      <c r="C9" s="103" t="s">
        <v>8</v>
      </c>
      <c r="D9" s="170"/>
      <c r="E9" s="168">
        <f>-($D$4-50000)/13*(1+$D$8)^(E2-1)</f>
        <v>-111538.46153846153</v>
      </c>
      <c r="F9" s="168">
        <f t="shared" ref="F9:Q9" si="1">-($D$4-50000)/13*(1+$D$8)^(F2-1)</f>
        <v>-111538.46153846153</v>
      </c>
      <c r="G9" s="168">
        <f t="shared" si="1"/>
        <v>-111538.46153846153</v>
      </c>
      <c r="H9" s="168">
        <f t="shared" si="1"/>
        <v>-111538.46153846153</v>
      </c>
      <c r="I9" s="168">
        <f t="shared" si="1"/>
        <v>-111538.46153846153</v>
      </c>
      <c r="J9" s="168">
        <f t="shared" si="1"/>
        <v>-111538.46153846153</v>
      </c>
      <c r="K9" s="168">
        <f t="shared" si="1"/>
        <v>-111538.46153846153</v>
      </c>
      <c r="L9" s="168">
        <f t="shared" si="1"/>
        <v>-111538.46153846153</v>
      </c>
      <c r="M9" s="168">
        <f t="shared" si="1"/>
        <v>-111538.46153846153</v>
      </c>
      <c r="N9" s="168">
        <f t="shared" si="1"/>
        <v>-111538.46153846153</v>
      </c>
      <c r="O9" s="168">
        <f t="shared" si="1"/>
        <v>-111538.46153846153</v>
      </c>
      <c r="P9" s="168">
        <f t="shared" si="1"/>
        <v>-111538.46153846153</v>
      </c>
      <c r="Q9" s="168">
        <f t="shared" si="1"/>
        <v>-111538.46153846153</v>
      </c>
    </row>
    <row r="10" spans="1:17" ht="15" x14ac:dyDescent="0.25">
      <c r="B10" s="100" t="s">
        <v>45</v>
      </c>
      <c r="C10" s="101" t="s">
        <v>8</v>
      </c>
      <c r="D10" s="76"/>
      <c r="E10" s="77">
        <f t="shared" ref="E10:Q10" si="2">E7+E9</f>
        <v>-307316.59266700945</v>
      </c>
      <c r="F10" s="77">
        <f t="shared" si="2"/>
        <v>-218353.9987896051</v>
      </c>
      <c r="G10" s="77">
        <f t="shared" si="2"/>
        <v>-219413.55968450365</v>
      </c>
      <c r="H10" s="77">
        <f t="shared" si="2"/>
        <v>-220495.71134198687</v>
      </c>
      <c r="I10" s="77">
        <f t="shared" si="2"/>
        <v>-193975.89844458184</v>
      </c>
      <c r="J10" s="77">
        <f t="shared" si="2"/>
        <v>-195104.57454016115</v>
      </c>
      <c r="K10" s="77">
        <f t="shared" si="2"/>
        <v>-196257.20221849228</v>
      </c>
      <c r="L10" s="77">
        <f t="shared" si="2"/>
        <v>-197434.25329130667</v>
      </c>
      <c r="M10" s="77">
        <f t="shared" si="2"/>
        <v>-198636.20897595779</v>
      </c>
      <c r="N10" s="77">
        <f t="shared" si="2"/>
        <v>-199863.56008273968</v>
      </c>
      <c r="O10" s="77">
        <f t="shared" si="2"/>
        <v>-201116.80720593984</v>
      </c>
      <c r="P10" s="77">
        <f t="shared" si="2"/>
        <v>-202396.46091869962</v>
      </c>
      <c r="Q10" s="77">
        <f t="shared" si="2"/>
        <v>-181345.28758022989</v>
      </c>
    </row>
    <row r="11" spans="1:17" ht="18" x14ac:dyDescent="0.25">
      <c r="D11" s="72"/>
    </row>
    <row r="12" spans="1:17" ht="15" x14ac:dyDescent="0.25">
      <c r="B12" s="105" t="s">
        <v>9</v>
      </c>
      <c r="C12" s="98"/>
      <c r="D12" s="106"/>
      <c r="E12" s="104">
        <f>E5+E10</f>
        <v>-143325.35490700946</v>
      </c>
      <c r="F12" s="104">
        <f t="shared" ref="F12:Q12" si="3">F5+F10</f>
        <v>-54795.691338581091</v>
      </c>
      <c r="G12" s="104">
        <f t="shared" si="3"/>
        <v>-56266.639548892621</v>
      </c>
      <c r="H12" s="104">
        <f t="shared" si="3"/>
        <v>-57738.357220413774</v>
      </c>
      <c r="I12" s="104">
        <f t="shared" si="3"/>
        <v>-31586.005753433914</v>
      </c>
      <c r="J12" s="104">
        <f t="shared" si="3"/>
        <v>-33059.750355674798</v>
      </c>
      <c r="K12" s="104">
        <f t="shared" si="3"/>
        <v>-34534.76013393671</v>
      </c>
      <c r="L12" s="104">
        <f t="shared" si="3"/>
        <v>26106.281812177331</v>
      </c>
      <c r="M12" s="104">
        <f t="shared" si="3"/>
        <v>330980.68829441268</v>
      </c>
      <c r="N12" s="104">
        <f t="shared" si="3"/>
        <v>329500.82793784281</v>
      </c>
      <c r="O12" s="104">
        <f t="shared" si="3"/>
        <v>328018.98508063197</v>
      </c>
      <c r="P12" s="104">
        <f t="shared" si="3"/>
        <v>326534.96967152855</v>
      </c>
      <c r="Q12" s="104">
        <f t="shared" si="3"/>
        <v>83030.526988170837</v>
      </c>
    </row>
    <row r="13" spans="1:17" ht="18" x14ac:dyDescent="0.25">
      <c r="D13" s="72"/>
    </row>
    <row r="14" spans="1:17" x14ac:dyDescent="0.2">
      <c r="B14" s="23" t="s">
        <v>16</v>
      </c>
      <c r="C14" s="15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x14ac:dyDescent="0.2">
      <c r="B15" s="74" t="s">
        <v>17</v>
      </c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7" s="71" customFormat="1" ht="15.75" x14ac:dyDescent="0.25">
      <c r="B16" s="67" t="s">
        <v>19</v>
      </c>
      <c r="C16" s="68"/>
      <c r="D16" s="69"/>
      <c r="E16" s="70">
        <f>E14+E15</f>
        <v>0</v>
      </c>
      <c r="F16" s="70">
        <f t="shared" ref="F16:Q16" si="4">F14+F15</f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0">
        <f t="shared" si="4"/>
        <v>0</v>
      </c>
      <c r="O16" s="70">
        <f t="shared" si="4"/>
        <v>0</v>
      </c>
      <c r="P16" s="70">
        <f t="shared" si="4"/>
        <v>0</v>
      </c>
      <c r="Q16" s="70">
        <f t="shared" si="4"/>
        <v>0</v>
      </c>
    </row>
    <row r="17" spans="2:17" s="107" customFormat="1" x14ac:dyDescent="0.2"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2:17" ht="15" x14ac:dyDescent="0.25">
      <c r="B18" s="105" t="s">
        <v>57</v>
      </c>
      <c r="C18" s="98"/>
      <c r="D18" s="106"/>
      <c r="E18" s="104">
        <f>E12+E16</f>
        <v>-143325.35490700946</v>
      </c>
      <c r="F18" s="104">
        <f>F12+F16</f>
        <v>-54795.691338581091</v>
      </c>
      <c r="G18" s="104">
        <f t="shared" ref="G18:Q18" si="5">G12+G16</f>
        <v>-56266.639548892621</v>
      </c>
      <c r="H18" s="104">
        <f t="shared" si="5"/>
        <v>-57738.357220413774</v>
      </c>
      <c r="I18" s="104">
        <f t="shared" si="5"/>
        <v>-31586.005753433914</v>
      </c>
      <c r="J18" s="104">
        <f t="shared" si="5"/>
        <v>-33059.750355674798</v>
      </c>
      <c r="K18" s="104">
        <f t="shared" si="5"/>
        <v>-34534.76013393671</v>
      </c>
      <c r="L18" s="104">
        <f t="shared" si="5"/>
        <v>26106.281812177331</v>
      </c>
      <c r="M18" s="104">
        <f t="shared" si="5"/>
        <v>330980.68829441268</v>
      </c>
      <c r="N18" s="104">
        <f t="shared" si="5"/>
        <v>329500.82793784281</v>
      </c>
      <c r="O18" s="104">
        <f t="shared" si="5"/>
        <v>328018.98508063197</v>
      </c>
      <c r="P18" s="104">
        <f t="shared" si="5"/>
        <v>326534.96967152855</v>
      </c>
      <c r="Q18" s="104">
        <f t="shared" si="5"/>
        <v>83030.526988170837</v>
      </c>
    </row>
    <row r="19" spans="2:17" ht="15" x14ac:dyDescent="0.25">
      <c r="B19" s="110"/>
      <c r="C19" s="111"/>
      <c r="D19" s="5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  <row r="20" spans="2:17" x14ac:dyDescent="0.2">
      <c r="B20" s="23" t="s">
        <v>10</v>
      </c>
      <c r="C20" s="112">
        <v>0.24</v>
      </c>
      <c r="D20" s="57"/>
      <c r="E20" s="58">
        <f t="shared" ref="E20:Q20" si="6">-IF(E18&lt;0,0,E18*$C$20)</f>
        <v>0</v>
      </c>
      <c r="F20" s="58">
        <f t="shared" si="6"/>
        <v>0</v>
      </c>
      <c r="G20" s="58">
        <f t="shared" si="6"/>
        <v>0</v>
      </c>
      <c r="H20" s="58">
        <f t="shared" si="6"/>
        <v>0</v>
      </c>
      <c r="I20" s="58">
        <f t="shared" si="6"/>
        <v>0</v>
      </c>
      <c r="J20" s="58">
        <f t="shared" si="6"/>
        <v>0</v>
      </c>
      <c r="K20" s="58">
        <f t="shared" si="6"/>
        <v>0</v>
      </c>
      <c r="L20" s="58">
        <f t="shared" si="6"/>
        <v>-6265.5076349225592</v>
      </c>
      <c r="M20" s="58">
        <f t="shared" si="6"/>
        <v>-79435.365190659038</v>
      </c>
      <c r="N20" s="58">
        <f t="shared" si="6"/>
        <v>-79080.198705082279</v>
      </c>
      <c r="O20" s="58">
        <f t="shared" si="6"/>
        <v>-78724.556419351677</v>
      </c>
      <c r="P20" s="58">
        <f t="shared" si="6"/>
        <v>-78368.392721166849</v>
      </c>
      <c r="Q20" s="58">
        <f t="shared" si="6"/>
        <v>-19927.326477161001</v>
      </c>
    </row>
    <row r="21" spans="2:17" ht="15" x14ac:dyDescent="0.25">
      <c r="B21" s="29" t="s">
        <v>14</v>
      </c>
      <c r="C21" s="113"/>
      <c r="D21" s="59"/>
      <c r="E21" s="171">
        <v>0</v>
      </c>
      <c r="F21" s="60">
        <f>E21</f>
        <v>0</v>
      </c>
      <c r="G21" s="60">
        <f t="shared" ref="G21:Q21" si="7">F21</f>
        <v>0</v>
      </c>
      <c r="H21" s="60">
        <f t="shared" si="7"/>
        <v>0</v>
      </c>
      <c r="I21" s="60">
        <f t="shared" si="7"/>
        <v>0</v>
      </c>
      <c r="J21" s="60">
        <f t="shared" si="7"/>
        <v>0</v>
      </c>
      <c r="K21" s="60">
        <f t="shared" si="7"/>
        <v>0</v>
      </c>
      <c r="L21" s="60">
        <f t="shared" si="7"/>
        <v>0</v>
      </c>
      <c r="M21" s="60">
        <f t="shared" si="7"/>
        <v>0</v>
      </c>
      <c r="N21" s="60">
        <f t="shared" si="7"/>
        <v>0</v>
      </c>
      <c r="O21" s="60">
        <f t="shared" si="7"/>
        <v>0</v>
      </c>
      <c r="P21" s="60">
        <f t="shared" si="7"/>
        <v>0</v>
      </c>
      <c r="Q21" s="60">
        <f t="shared" si="7"/>
        <v>0</v>
      </c>
    </row>
    <row r="22" spans="2:17" x14ac:dyDescent="0.2">
      <c r="B22" s="74" t="s">
        <v>11</v>
      </c>
      <c r="C22" s="114">
        <v>4.7600000000000003E-2</v>
      </c>
      <c r="D22" s="76"/>
      <c r="E22" s="77">
        <f t="shared" ref="E22:Q22" si="8">-IF(E18&lt;0,0,$C$22*E18)</f>
        <v>0</v>
      </c>
      <c r="F22" s="77">
        <f t="shared" si="8"/>
        <v>0</v>
      </c>
      <c r="G22" s="77">
        <f t="shared" si="8"/>
        <v>0</v>
      </c>
      <c r="H22" s="77">
        <f t="shared" si="8"/>
        <v>0</v>
      </c>
      <c r="I22" s="77">
        <f t="shared" si="8"/>
        <v>0</v>
      </c>
      <c r="J22" s="77">
        <f t="shared" si="8"/>
        <v>0</v>
      </c>
      <c r="K22" s="77">
        <f t="shared" si="8"/>
        <v>0</v>
      </c>
      <c r="L22" s="77">
        <f t="shared" si="8"/>
        <v>-1242.659014259641</v>
      </c>
      <c r="M22" s="77">
        <f t="shared" si="8"/>
        <v>-15754.680762814045</v>
      </c>
      <c r="N22" s="77">
        <f t="shared" si="8"/>
        <v>-15684.239409841319</v>
      </c>
      <c r="O22" s="77">
        <f t="shared" si="8"/>
        <v>-15613.703689838083</v>
      </c>
      <c r="P22" s="77">
        <f t="shared" si="8"/>
        <v>-15543.064556364759</v>
      </c>
      <c r="Q22" s="77">
        <f t="shared" si="8"/>
        <v>-3952.2530846369323</v>
      </c>
    </row>
    <row r="23" spans="2:17" s="71" customFormat="1" ht="15.75" x14ac:dyDescent="0.25">
      <c r="B23" s="67" t="s">
        <v>20</v>
      </c>
      <c r="C23" s="68"/>
      <c r="D23" s="69"/>
      <c r="E23" s="70">
        <f>SUM(E20:E22)</f>
        <v>0</v>
      </c>
      <c r="F23" s="70">
        <f t="shared" ref="F23:Q23" si="9">SUM(F20:F22)</f>
        <v>0</v>
      </c>
      <c r="G23" s="70">
        <f t="shared" si="9"/>
        <v>0</v>
      </c>
      <c r="H23" s="70">
        <f t="shared" si="9"/>
        <v>0</v>
      </c>
      <c r="I23" s="70">
        <f t="shared" si="9"/>
        <v>0</v>
      </c>
      <c r="J23" s="70">
        <f t="shared" si="9"/>
        <v>0</v>
      </c>
      <c r="K23" s="70">
        <f t="shared" si="9"/>
        <v>0</v>
      </c>
      <c r="L23" s="70">
        <f t="shared" si="9"/>
        <v>-7508.1666491821998</v>
      </c>
      <c r="M23" s="70">
        <f t="shared" si="9"/>
        <v>-95190.045953473076</v>
      </c>
      <c r="N23" s="70">
        <f t="shared" si="9"/>
        <v>-94764.4381149236</v>
      </c>
      <c r="O23" s="70">
        <f t="shared" si="9"/>
        <v>-94338.260109189752</v>
      </c>
      <c r="P23" s="70">
        <f t="shared" si="9"/>
        <v>-93911.457277531605</v>
      </c>
      <c r="Q23" s="70">
        <f t="shared" si="9"/>
        <v>-23879.579561797935</v>
      </c>
    </row>
    <row r="24" spans="2:17" s="116" customFormat="1" ht="15.75" x14ac:dyDescent="0.25">
      <c r="B24" s="69"/>
      <c r="C24" s="69"/>
      <c r="D24" s="69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</row>
    <row r="25" spans="2:17" s="71" customFormat="1" ht="15.75" x14ac:dyDescent="0.25">
      <c r="B25" s="67" t="s">
        <v>18</v>
      </c>
      <c r="C25" s="68"/>
      <c r="D25" s="69"/>
      <c r="E25" s="70">
        <f>E12+E16+E23</f>
        <v>-143325.35490700946</v>
      </c>
      <c r="F25" s="70">
        <f t="shared" ref="F25:Q25" si="10">F12+F16+F23</f>
        <v>-54795.691338581091</v>
      </c>
      <c r="G25" s="70">
        <f t="shared" si="10"/>
        <v>-56266.639548892621</v>
      </c>
      <c r="H25" s="70">
        <f t="shared" si="10"/>
        <v>-57738.357220413774</v>
      </c>
      <c r="I25" s="70">
        <f t="shared" si="10"/>
        <v>-31586.005753433914</v>
      </c>
      <c r="J25" s="70">
        <f t="shared" si="10"/>
        <v>-33059.750355674798</v>
      </c>
      <c r="K25" s="70">
        <f t="shared" si="10"/>
        <v>-34534.76013393671</v>
      </c>
      <c r="L25" s="70">
        <f t="shared" si="10"/>
        <v>18598.115162995131</v>
      </c>
      <c r="M25" s="70">
        <f t="shared" si="10"/>
        <v>235790.64234093961</v>
      </c>
      <c r="N25" s="70">
        <f t="shared" si="10"/>
        <v>234736.38982291921</v>
      </c>
      <c r="O25" s="70">
        <f t="shared" si="10"/>
        <v>233680.72497144222</v>
      </c>
      <c r="P25" s="70">
        <f t="shared" si="10"/>
        <v>232623.51239399693</v>
      </c>
      <c r="Q25" s="70">
        <f t="shared" si="10"/>
        <v>59150.947426372906</v>
      </c>
    </row>
    <row r="26" spans="2:17" s="71" customFormat="1" ht="15.75" x14ac:dyDescent="0.25">
      <c r="B26" s="67" t="s">
        <v>58</v>
      </c>
      <c r="C26" s="68"/>
      <c r="D26" s="69"/>
      <c r="E26" s="70">
        <f>E25/(1+SCENARIO_AS_IS!$C$2)^E2</f>
        <v>-139150.83000680531</v>
      </c>
      <c r="F26" s="70">
        <f>F25/(1+SCENARIO_AS_IS!$C$2)^F2</f>
        <v>-51650.194493902432</v>
      </c>
      <c r="G26" s="70">
        <f>G25/(1+SCENARIO_AS_IS!$C$2)^G2</f>
        <v>-51491.945882999709</v>
      </c>
      <c r="H26" s="70">
        <f>H25/(1+SCENARIO_AS_IS!$C$2)^H2</f>
        <v>-51299.782558266939</v>
      </c>
      <c r="I26" s="70">
        <f>I25/(1+SCENARIO_AS_IS!$C$2)^I2</f>
        <v>-27246.366026520842</v>
      </c>
      <c r="J26" s="70">
        <f>J25/(1+SCENARIO_AS_IS!$C$2)^J2</f>
        <v>-27687.020452769488</v>
      </c>
      <c r="K26" s="70">
        <f>K25/(1+SCENARIO_AS_IS!$C$2)^K2</f>
        <v>-28079.920311182803</v>
      </c>
      <c r="L26" s="70">
        <f>L25/(1+SCENARIO_AS_IS!$C$2)^L2</f>
        <v>14681.523850502384</v>
      </c>
      <c r="M26" s="70">
        <f>M25/(1+SCENARIO_AS_IS!$C$2)^M2</f>
        <v>180713.89362014778</v>
      </c>
      <c r="N26" s="70">
        <f>N25/(1+SCENARIO_AS_IS!$C$2)^N2</f>
        <v>174665.91927205975</v>
      </c>
      <c r="O26" s="70">
        <f>O25/(1+SCENARIO_AS_IS!$C$2)^O2</f>
        <v>168815.92765039357</v>
      </c>
      <c r="P26" s="70">
        <f>P25/(1+SCENARIO_AS_IS!$C$2)^P2</f>
        <v>163157.45125297018</v>
      </c>
      <c r="Q26" s="70">
        <f>Q25/(1+SCENARIO_AS_IS!$C$2)^Q2</f>
        <v>40278.916911854649</v>
      </c>
    </row>
    <row r="27" spans="2:17" ht="18" x14ac:dyDescent="0.25">
      <c r="D27" s="72"/>
    </row>
    <row r="28" spans="2:17" ht="15.75" x14ac:dyDescent="0.25">
      <c r="E28" s="117" t="s">
        <v>12</v>
      </c>
      <c r="F28" s="118" t="s">
        <v>13</v>
      </c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r="29" spans="2:17" s="123" customFormat="1" ht="15" x14ac:dyDescent="0.25">
      <c r="B29" s="120"/>
      <c r="C29" s="9"/>
      <c r="D29" s="120"/>
      <c r="E29" s="121">
        <f>SUM(E26:Q26)+E35</f>
        <v>608795.34575191815</v>
      </c>
      <c r="F29" s="122">
        <f>IRR(E26:Q26)</f>
        <v>9.1921907597130259E-2</v>
      </c>
    </row>
    <row r="32" spans="2:17" x14ac:dyDescent="0.2">
      <c r="D32" s="9" t="s">
        <v>77</v>
      </c>
      <c r="E32" s="10">
        <f>IF(E18&lt;0,-E18,0)</f>
        <v>143325.35490700946</v>
      </c>
      <c r="F32" s="10">
        <f t="shared" ref="F32:Q32" si="11">IF(F18&lt;0,-F18,0)</f>
        <v>54795.691338581091</v>
      </c>
      <c r="G32" s="10">
        <f t="shared" si="11"/>
        <v>56266.639548892621</v>
      </c>
      <c r="H32" s="10">
        <f t="shared" si="11"/>
        <v>57738.357220413774</v>
      </c>
      <c r="I32" s="10">
        <f t="shared" si="11"/>
        <v>31586.005753433914</v>
      </c>
      <c r="J32" s="10">
        <f t="shared" si="11"/>
        <v>33059.750355674798</v>
      </c>
      <c r="K32" s="10">
        <f t="shared" si="11"/>
        <v>34534.76013393671</v>
      </c>
      <c r="L32" s="10">
        <f t="shared" si="11"/>
        <v>0</v>
      </c>
      <c r="M32" s="10">
        <f t="shared" si="11"/>
        <v>0</v>
      </c>
      <c r="N32" s="10">
        <f t="shared" si="11"/>
        <v>0</v>
      </c>
      <c r="O32" s="10">
        <f t="shared" si="11"/>
        <v>0</v>
      </c>
      <c r="P32" s="10">
        <f t="shared" si="11"/>
        <v>0</v>
      </c>
      <c r="Q32" s="10">
        <f t="shared" si="11"/>
        <v>0</v>
      </c>
    </row>
    <row r="33" spans="4:17" x14ac:dyDescent="0.2">
      <c r="D33" s="9" t="s">
        <v>78</v>
      </c>
      <c r="E33" s="9">
        <f>IF(E18&gt;0,E18,0)</f>
        <v>0</v>
      </c>
      <c r="F33" s="9">
        <f t="shared" ref="F33:Q33" si="12">IF(F18&gt;0,F18,0)</f>
        <v>0</v>
      </c>
      <c r="G33" s="9">
        <f t="shared" si="12"/>
        <v>0</v>
      </c>
      <c r="H33" s="9">
        <f t="shared" si="12"/>
        <v>0</v>
      </c>
      <c r="I33" s="9">
        <f t="shared" si="12"/>
        <v>0</v>
      </c>
      <c r="J33" s="9">
        <f t="shared" si="12"/>
        <v>0</v>
      </c>
      <c r="K33" s="9">
        <f t="shared" si="12"/>
        <v>0</v>
      </c>
      <c r="L33" s="9">
        <f t="shared" si="12"/>
        <v>26106.281812177331</v>
      </c>
      <c r="M33" s="9">
        <f t="shared" si="12"/>
        <v>330980.68829441268</v>
      </c>
      <c r="N33" s="9">
        <f t="shared" si="12"/>
        <v>329500.82793784281</v>
      </c>
      <c r="O33" s="9">
        <f t="shared" si="12"/>
        <v>328018.98508063197</v>
      </c>
      <c r="P33" s="9">
        <f t="shared" si="12"/>
        <v>326534.96967152855</v>
      </c>
      <c r="Q33" s="9">
        <f t="shared" si="12"/>
        <v>83030.526988170837</v>
      </c>
    </row>
    <row r="34" spans="4:17" x14ac:dyDescent="0.2">
      <c r="D34" s="9" t="s">
        <v>79</v>
      </c>
      <c r="E34" s="11">
        <f>SUM(E33:Q33)-SUM(E32:Q32)</f>
        <v>1012865.7205268219</v>
      </c>
    </row>
    <row r="35" spans="4:17" x14ac:dyDescent="0.2">
      <c r="D35" s="9" t="s">
        <v>80</v>
      </c>
      <c r="E35" s="11">
        <f>E34*C20</f>
        <v>243087.77292643726</v>
      </c>
    </row>
  </sheetData>
  <dataValidations count="1">
    <dataValidation type="list" allowBlank="1" showInputMessage="1" showErrorMessage="1" sqref="C8" xr:uid="{00000000-0002-0000-0100-000000000000}">
      <formula1>$A$8:$A$9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55"/>
  <sheetViews>
    <sheetView topLeftCell="A22" zoomScale="60" zoomScaleNormal="60" workbookViewId="0">
      <selection activeCell="E43" sqref="E43"/>
    </sheetView>
  </sheetViews>
  <sheetFormatPr defaultColWidth="11.42578125" defaultRowHeight="14.25" x14ac:dyDescent="0.2"/>
  <cols>
    <col min="1" max="1" width="11.42578125" style="9"/>
    <col min="2" max="2" width="46.28515625" style="9" bestFit="1" customWidth="1"/>
    <col min="3" max="3" width="29.7109375" style="9" customWidth="1"/>
    <col min="4" max="4" width="23.5703125" style="9" customWidth="1"/>
    <col min="5" max="17" width="20.85546875" style="9" customWidth="1"/>
    <col min="18" max="253" width="11.42578125" style="9"/>
    <col min="254" max="254" width="25" style="9" customWidth="1"/>
    <col min="255" max="255" width="29.7109375" style="9" customWidth="1"/>
    <col min="256" max="256" width="30.85546875" style="9" customWidth="1"/>
    <col min="257" max="273" width="20.85546875" style="9" customWidth="1"/>
    <col min="274" max="509" width="11.42578125" style="9"/>
    <col min="510" max="510" width="25" style="9" customWidth="1"/>
    <col min="511" max="511" width="29.7109375" style="9" customWidth="1"/>
    <col min="512" max="512" width="30.85546875" style="9" customWidth="1"/>
    <col min="513" max="529" width="20.85546875" style="9" customWidth="1"/>
    <col min="530" max="765" width="11.42578125" style="9"/>
    <col min="766" max="766" width="25" style="9" customWidth="1"/>
    <col min="767" max="767" width="29.7109375" style="9" customWidth="1"/>
    <col min="768" max="768" width="30.85546875" style="9" customWidth="1"/>
    <col min="769" max="785" width="20.85546875" style="9" customWidth="1"/>
    <col min="786" max="1021" width="11.42578125" style="9"/>
    <col min="1022" max="1022" width="25" style="9" customWidth="1"/>
    <col min="1023" max="1023" width="29.7109375" style="9" customWidth="1"/>
    <col min="1024" max="1024" width="30.85546875" style="9" customWidth="1"/>
    <col min="1025" max="1041" width="20.85546875" style="9" customWidth="1"/>
    <col min="1042" max="1277" width="11.42578125" style="9"/>
    <col min="1278" max="1278" width="25" style="9" customWidth="1"/>
    <col min="1279" max="1279" width="29.7109375" style="9" customWidth="1"/>
    <col min="1280" max="1280" width="30.85546875" style="9" customWidth="1"/>
    <col min="1281" max="1297" width="20.85546875" style="9" customWidth="1"/>
    <col min="1298" max="1533" width="11.42578125" style="9"/>
    <col min="1534" max="1534" width="25" style="9" customWidth="1"/>
    <col min="1535" max="1535" width="29.7109375" style="9" customWidth="1"/>
    <col min="1536" max="1536" width="30.85546875" style="9" customWidth="1"/>
    <col min="1537" max="1553" width="20.85546875" style="9" customWidth="1"/>
    <col min="1554" max="1789" width="11.42578125" style="9"/>
    <col min="1790" max="1790" width="25" style="9" customWidth="1"/>
    <col min="1791" max="1791" width="29.7109375" style="9" customWidth="1"/>
    <col min="1792" max="1792" width="30.85546875" style="9" customWidth="1"/>
    <col min="1793" max="1809" width="20.85546875" style="9" customWidth="1"/>
    <col min="1810" max="2045" width="11.42578125" style="9"/>
    <col min="2046" max="2046" width="25" style="9" customWidth="1"/>
    <col min="2047" max="2047" width="29.7109375" style="9" customWidth="1"/>
    <col min="2048" max="2048" width="30.85546875" style="9" customWidth="1"/>
    <col min="2049" max="2065" width="20.85546875" style="9" customWidth="1"/>
    <col min="2066" max="2301" width="11.42578125" style="9"/>
    <col min="2302" max="2302" width="25" style="9" customWidth="1"/>
    <col min="2303" max="2303" width="29.7109375" style="9" customWidth="1"/>
    <col min="2304" max="2304" width="30.85546875" style="9" customWidth="1"/>
    <col min="2305" max="2321" width="20.85546875" style="9" customWidth="1"/>
    <col min="2322" max="2557" width="11.42578125" style="9"/>
    <col min="2558" max="2558" width="25" style="9" customWidth="1"/>
    <col min="2559" max="2559" width="29.7109375" style="9" customWidth="1"/>
    <col min="2560" max="2560" width="30.85546875" style="9" customWidth="1"/>
    <col min="2561" max="2577" width="20.85546875" style="9" customWidth="1"/>
    <col min="2578" max="2813" width="11.42578125" style="9"/>
    <col min="2814" max="2814" width="25" style="9" customWidth="1"/>
    <col min="2815" max="2815" width="29.7109375" style="9" customWidth="1"/>
    <col min="2816" max="2816" width="30.85546875" style="9" customWidth="1"/>
    <col min="2817" max="2833" width="20.85546875" style="9" customWidth="1"/>
    <col min="2834" max="3069" width="11.42578125" style="9"/>
    <col min="3070" max="3070" width="25" style="9" customWidth="1"/>
    <col min="3071" max="3071" width="29.7109375" style="9" customWidth="1"/>
    <col min="3072" max="3072" width="30.85546875" style="9" customWidth="1"/>
    <col min="3073" max="3089" width="20.85546875" style="9" customWidth="1"/>
    <col min="3090" max="3325" width="11.42578125" style="9"/>
    <col min="3326" max="3326" width="25" style="9" customWidth="1"/>
    <col min="3327" max="3327" width="29.7109375" style="9" customWidth="1"/>
    <col min="3328" max="3328" width="30.85546875" style="9" customWidth="1"/>
    <col min="3329" max="3345" width="20.85546875" style="9" customWidth="1"/>
    <col min="3346" max="3581" width="11.42578125" style="9"/>
    <col min="3582" max="3582" width="25" style="9" customWidth="1"/>
    <col min="3583" max="3583" width="29.7109375" style="9" customWidth="1"/>
    <col min="3584" max="3584" width="30.85546875" style="9" customWidth="1"/>
    <col min="3585" max="3601" width="20.85546875" style="9" customWidth="1"/>
    <col min="3602" max="3837" width="11.42578125" style="9"/>
    <col min="3838" max="3838" width="25" style="9" customWidth="1"/>
    <col min="3839" max="3839" width="29.7109375" style="9" customWidth="1"/>
    <col min="3840" max="3840" width="30.85546875" style="9" customWidth="1"/>
    <col min="3841" max="3857" width="20.85546875" style="9" customWidth="1"/>
    <col min="3858" max="4093" width="11.42578125" style="9"/>
    <col min="4094" max="4094" width="25" style="9" customWidth="1"/>
    <col min="4095" max="4095" width="29.7109375" style="9" customWidth="1"/>
    <col min="4096" max="4096" width="30.85546875" style="9" customWidth="1"/>
    <col min="4097" max="4113" width="20.85546875" style="9" customWidth="1"/>
    <col min="4114" max="4349" width="11.42578125" style="9"/>
    <col min="4350" max="4350" width="25" style="9" customWidth="1"/>
    <col min="4351" max="4351" width="29.7109375" style="9" customWidth="1"/>
    <col min="4352" max="4352" width="30.85546875" style="9" customWidth="1"/>
    <col min="4353" max="4369" width="20.85546875" style="9" customWidth="1"/>
    <col min="4370" max="4605" width="11.42578125" style="9"/>
    <col min="4606" max="4606" width="25" style="9" customWidth="1"/>
    <col min="4607" max="4607" width="29.7109375" style="9" customWidth="1"/>
    <col min="4608" max="4608" width="30.85546875" style="9" customWidth="1"/>
    <col min="4609" max="4625" width="20.85546875" style="9" customWidth="1"/>
    <col min="4626" max="4861" width="11.42578125" style="9"/>
    <col min="4862" max="4862" width="25" style="9" customWidth="1"/>
    <col min="4863" max="4863" width="29.7109375" style="9" customWidth="1"/>
    <col min="4864" max="4864" width="30.85546875" style="9" customWidth="1"/>
    <col min="4865" max="4881" width="20.85546875" style="9" customWidth="1"/>
    <col min="4882" max="5117" width="11.42578125" style="9"/>
    <col min="5118" max="5118" width="25" style="9" customWidth="1"/>
    <col min="5119" max="5119" width="29.7109375" style="9" customWidth="1"/>
    <col min="5120" max="5120" width="30.85546875" style="9" customWidth="1"/>
    <col min="5121" max="5137" width="20.85546875" style="9" customWidth="1"/>
    <col min="5138" max="5373" width="11.42578125" style="9"/>
    <col min="5374" max="5374" width="25" style="9" customWidth="1"/>
    <col min="5375" max="5375" width="29.7109375" style="9" customWidth="1"/>
    <col min="5376" max="5376" width="30.85546875" style="9" customWidth="1"/>
    <col min="5377" max="5393" width="20.85546875" style="9" customWidth="1"/>
    <col min="5394" max="5629" width="11.42578125" style="9"/>
    <col min="5630" max="5630" width="25" style="9" customWidth="1"/>
    <col min="5631" max="5631" width="29.7109375" style="9" customWidth="1"/>
    <col min="5632" max="5632" width="30.85546875" style="9" customWidth="1"/>
    <col min="5633" max="5649" width="20.85546875" style="9" customWidth="1"/>
    <col min="5650" max="5885" width="11.42578125" style="9"/>
    <col min="5886" max="5886" width="25" style="9" customWidth="1"/>
    <col min="5887" max="5887" width="29.7109375" style="9" customWidth="1"/>
    <col min="5888" max="5888" width="30.85546875" style="9" customWidth="1"/>
    <col min="5889" max="5905" width="20.85546875" style="9" customWidth="1"/>
    <col min="5906" max="6141" width="11.42578125" style="9"/>
    <col min="6142" max="6142" width="25" style="9" customWidth="1"/>
    <col min="6143" max="6143" width="29.7109375" style="9" customWidth="1"/>
    <col min="6144" max="6144" width="30.85546875" style="9" customWidth="1"/>
    <col min="6145" max="6161" width="20.85546875" style="9" customWidth="1"/>
    <col min="6162" max="6397" width="11.42578125" style="9"/>
    <col min="6398" max="6398" width="25" style="9" customWidth="1"/>
    <col min="6399" max="6399" width="29.7109375" style="9" customWidth="1"/>
    <col min="6400" max="6400" width="30.85546875" style="9" customWidth="1"/>
    <col min="6401" max="6417" width="20.85546875" style="9" customWidth="1"/>
    <col min="6418" max="6653" width="11.42578125" style="9"/>
    <col min="6654" max="6654" width="25" style="9" customWidth="1"/>
    <col min="6655" max="6655" width="29.7109375" style="9" customWidth="1"/>
    <col min="6656" max="6656" width="30.85546875" style="9" customWidth="1"/>
    <col min="6657" max="6673" width="20.85546875" style="9" customWidth="1"/>
    <col min="6674" max="6909" width="11.42578125" style="9"/>
    <col min="6910" max="6910" width="25" style="9" customWidth="1"/>
    <col min="6911" max="6911" width="29.7109375" style="9" customWidth="1"/>
    <col min="6912" max="6912" width="30.85546875" style="9" customWidth="1"/>
    <col min="6913" max="6929" width="20.85546875" style="9" customWidth="1"/>
    <col min="6930" max="7165" width="11.42578125" style="9"/>
    <col min="7166" max="7166" width="25" style="9" customWidth="1"/>
    <col min="7167" max="7167" width="29.7109375" style="9" customWidth="1"/>
    <col min="7168" max="7168" width="30.85546875" style="9" customWidth="1"/>
    <col min="7169" max="7185" width="20.85546875" style="9" customWidth="1"/>
    <col min="7186" max="7421" width="11.42578125" style="9"/>
    <col min="7422" max="7422" width="25" style="9" customWidth="1"/>
    <col min="7423" max="7423" width="29.7109375" style="9" customWidth="1"/>
    <col min="7424" max="7424" width="30.85546875" style="9" customWidth="1"/>
    <col min="7425" max="7441" width="20.85546875" style="9" customWidth="1"/>
    <col min="7442" max="7677" width="11.42578125" style="9"/>
    <col min="7678" max="7678" width="25" style="9" customWidth="1"/>
    <col min="7679" max="7679" width="29.7109375" style="9" customWidth="1"/>
    <col min="7680" max="7680" width="30.85546875" style="9" customWidth="1"/>
    <col min="7681" max="7697" width="20.85546875" style="9" customWidth="1"/>
    <col min="7698" max="7933" width="11.42578125" style="9"/>
    <col min="7934" max="7934" width="25" style="9" customWidth="1"/>
    <col min="7935" max="7935" width="29.7109375" style="9" customWidth="1"/>
    <col min="7936" max="7936" width="30.85546875" style="9" customWidth="1"/>
    <col min="7937" max="7953" width="20.85546875" style="9" customWidth="1"/>
    <col min="7954" max="8189" width="11.42578125" style="9"/>
    <col min="8190" max="8190" width="25" style="9" customWidth="1"/>
    <col min="8191" max="8191" width="29.7109375" style="9" customWidth="1"/>
    <col min="8192" max="8192" width="30.85546875" style="9" customWidth="1"/>
    <col min="8193" max="8209" width="20.85546875" style="9" customWidth="1"/>
    <col min="8210" max="8445" width="11.42578125" style="9"/>
    <col min="8446" max="8446" width="25" style="9" customWidth="1"/>
    <col min="8447" max="8447" width="29.7109375" style="9" customWidth="1"/>
    <col min="8448" max="8448" width="30.85546875" style="9" customWidth="1"/>
    <col min="8449" max="8465" width="20.85546875" style="9" customWidth="1"/>
    <col min="8466" max="8701" width="11.42578125" style="9"/>
    <col min="8702" max="8702" width="25" style="9" customWidth="1"/>
    <col min="8703" max="8703" width="29.7109375" style="9" customWidth="1"/>
    <col min="8704" max="8704" width="30.85546875" style="9" customWidth="1"/>
    <col min="8705" max="8721" width="20.85546875" style="9" customWidth="1"/>
    <col min="8722" max="8957" width="11.42578125" style="9"/>
    <col min="8958" max="8958" width="25" style="9" customWidth="1"/>
    <col min="8959" max="8959" width="29.7109375" style="9" customWidth="1"/>
    <col min="8960" max="8960" width="30.85546875" style="9" customWidth="1"/>
    <col min="8961" max="8977" width="20.85546875" style="9" customWidth="1"/>
    <col min="8978" max="9213" width="11.42578125" style="9"/>
    <col min="9214" max="9214" width="25" style="9" customWidth="1"/>
    <col min="9215" max="9215" width="29.7109375" style="9" customWidth="1"/>
    <col min="9216" max="9216" width="30.85546875" style="9" customWidth="1"/>
    <col min="9217" max="9233" width="20.85546875" style="9" customWidth="1"/>
    <col min="9234" max="9469" width="11.42578125" style="9"/>
    <col min="9470" max="9470" width="25" style="9" customWidth="1"/>
    <col min="9471" max="9471" width="29.7109375" style="9" customWidth="1"/>
    <col min="9472" max="9472" width="30.85546875" style="9" customWidth="1"/>
    <col min="9473" max="9489" width="20.85546875" style="9" customWidth="1"/>
    <col min="9490" max="9725" width="11.42578125" style="9"/>
    <col min="9726" max="9726" width="25" style="9" customWidth="1"/>
    <col min="9727" max="9727" width="29.7109375" style="9" customWidth="1"/>
    <col min="9728" max="9728" width="30.85546875" style="9" customWidth="1"/>
    <col min="9729" max="9745" width="20.85546875" style="9" customWidth="1"/>
    <col min="9746" max="9981" width="11.42578125" style="9"/>
    <col min="9982" max="9982" width="25" style="9" customWidth="1"/>
    <col min="9983" max="9983" width="29.7109375" style="9" customWidth="1"/>
    <col min="9984" max="9984" width="30.85546875" style="9" customWidth="1"/>
    <col min="9985" max="10001" width="20.85546875" style="9" customWidth="1"/>
    <col min="10002" max="10237" width="11.42578125" style="9"/>
    <col min="10238" max="10238" width="25" style="9" customWidth="1"/>
    <col min="10239" max="10239" width="29.7109375" style="9" customWidth="1"/>
    <col min="10240" max="10240" width="30.85546875" style="9" customWidth="1"/>
    <col min="10241" max="10257" width="20.85546875" style="9" customWidth="1"/>
    <col min="10258" max="10493" width="11.42578125" style="9"/>
    <col min="10494" max="10494" width="25" style="9" customWidth="1"/>
    <col min="10495" max="10495" width="29.7109375" style="9" customWidth="1"/>
    <col min="10496" max="10496" width="30.85546875" style="9" customWidth="1"/>
    <col min="10497" max="10513" width="20.85546875" style="9" customWidth="1"/>
    <col min="10514" max="10749" width="11.42578125" style="9"/>
    <col min="10750" max="10750" width="25" style="9" customWidth="1"/>
    <col min="10751" max="10751" width="29.7109375" style="9" customWidth="1"/>
    <col min="10752" max="10752" width="30.85546875" style="9" customWidth="1"/>
    <col min="10753" max="10769" width="20.85546875" style="9" customWidth="1"/>
    <col min="10770" max="11005" width="11.42578125" style="9"/>
    <col min="11006" max="11006" width="25" style="9" customWidth="1"/>
    <col min="11007" max="11007" width="29.7109375" style="9" customWidth="1"/>
    <col min="11008" max="11008" width="30.85546875" style="9" customWidth="1"/>
    <col min="11009" max="11025" width="20.85546875" style="9" customWidth="1"/>
    <col min="11026" max="11261" width="11.42578125" style="9"/>
    <col min="11262" max="11262" width="25" style="9" customWidth="1"/>
    <col min="11263" max="11263" width="29.7109375" style="9" customWidth="1"/>
    <col min="11264" max="11264" width="30.85546875" style="9" customWidth="1"/>
    <col min="11265" max="11281" width="20.85546875" style="9" customWidth="1"/>
    <col min="11282" max="11517" width="11.42578125" style="9"/>
    <col min="11518" max="11518" width="25" style="9" customWidth="1"/>
    <col min="11519" max="11519" width="29.7109375" style="9" customWidth="1"/>
    <col min="11520" max="11520" width="30.85546875" style="9" customWidth="1"/>
    <col min="11521" max="11537" width="20.85546875" style="9" customWidth="1"/>
    <col min="11538" max="11773" width="11.42578125" style="9"/>
    <col min="11774" max="11774" width="25" style="9" customWidth="1"/>
    <col min="11775" max="11775" width="29.7109375" style="9" customWidth="1"/>
    <col min="11776" max="11776" width="30.85546875" style="9" customWidth="1"/>
    <col min="11777" max="11793" width="20.85546875" style="9" customWidth="1"/>
    <col min="11794" max="12029" width="11.42578125" style="9"/>
    <col min="12030" max="12030" width="25" style="9" customWidth="1"/>
    <col min="12031" max="12031" width="29.7109375" style="9" customWidth="1"/>
    <col min="12032" max="12032" width="30.85546875" style="9" customWidth="1"/>
    <col min="12033" max="12049" width="20.85546875" style="9" customWidth="1"/>
    <col min="12050" max="12285" width="11.42578125" style="9"/>
    <col min="12286" max="12286" width="25" style="9" customWidth="1"/>
    <col min="12287" max="12287" width="29.7109375" style="9" customWidth="1"/>
    <col min="12288" max="12288" width="30.85546875" style="9" customWidth="1"/>
    <col min="12289" max="12305" width="20.85546875" style="9" customWidth="1"/>
    <col min="12306" max="12541" width="11.42578125" style="9"/>
    <col min="12542" max="12542" width="25" style="9" customWidth="1"/>
    <col min="12543" max="12543" width="29.7109375" style="9" customWidth="1"/>
    <col min="12544" max="12544" width="30.85546875" style="9" customWidth="1"/>
    <col min="12545" max="12561" width="20.85546875" style="9" customWidth="1"/>
    <col min="12562" max="12797" width="11.42578125" style="9"/>
    <col min="12798" max="12798" width="25" style="9" customWidth="1"/>
    <col min="12799" max="12799" width="29.7109375" style="9" customWidth="1"/>
    <col min="12800" max="12800" width="30.85546875" style="9" customWidth="1"/>
    <col min="12801" max="12817" width="20.85546875" style="9" customWidth="1"/>
    <col min="12818" max="13053" width="11.42578125" style="9"/>
    <col min="13054" max="13054" width="25" style="9" customWidth="1"/>
    <col min="13055" max="13055" width="29.7109375" style="9" customWidth="1"/>
    <col min="13056" max="13056" width="30.85546875" style="9" customWidth="1"/>
    <col min="13057" max="13073" width="20.85546875" style="9" customWidth="1"/>
    <col min="13074" max="13309" width="11.42578125" style="9"/>
    <col min="13310" max="13310" width="25" style="9" customWidth="1"/>
    <col min="13311" max="13311" width="29.7109375" style="9" customWidth="1"/>
    <col min="13312" max="13312" width="30.85546875" style="9" customWidth="1"/>
    <col min="13313" max="13329" width="20.85546875" style="9" customWidth="1"/>
    <col min="13330" max="13565" width="11.42578125" style="9"/>
    <col min="13566" max="13566" width="25" style="9" customWidth="1"/>
    <col min="13567" max="13567" width="29.7109375" style="9" customWidth="1"/>
    <col min="13568" max="13568" width="30.85546875" style="9" customWidth="1"/>
    <col min="13569" max="13585" width="20.85546875" style="9" customWidth="1"/>
    <col min="13586" max="13821" width="11.42578125" style="9"/>
    <col min="13822" max="13822" width="25" style="9" customWidth="1"/>
    <col min="13823" max="13823" width="29.7109375" style="9" customWidth="1"/>
    <col min="13824" max="13824" width="30.85546875" style="9" customWidth="1"/>
    <col min="13825" max="13841" width="20.85546875" style="9" customWidth="1"/>
    <col min="13842" max="14077" width="11.42578125" style="9"/>
    <col min="14078" max="14078" width="25" style="9" customWidth="1"/>
    <col min="14079" max="14079" width="29.7109375" style="9" customWidth="1"/>
    <col min="14080" max="14080" width="30.85546875" style="9" customWidth="1"/>
    <col min="14081" max="14097" width="20.85546875" style="9" customWidth="1"/>
    <col min="14098" max="14333" width="11.42578125" style="9"/>
    <col min="14334" max="14334" width="25" style="9" customWidth="1"/>
    <col min="14335" max="14335" width="29.7109375" style="9" customWidth="1"/>
    <col min="14336" max="14336" width="30.85546875" style="9" customWidth="1"/>
    <col min="14337" max="14353" width="20.85546875" style="9" customWidth="1"/>
    <col min="14354" max="14589" width="11.42578125" style="9"/>
    <col min="14590" max="14590" width="25" style="9" customWidth="1"/>
    <col min="14591" max="14591" width="29.7109375" style="9" customWidth="1"/>
    <col min="14592" max="14592" width="30.85546875" style="9" customWidth="1"/>
    <col min="14593" max="14609" width="20.85546875" style="9" customWidth="1"/>
    <col min="14610" max="14845" width="11.42578125" style="9"/>
    <col min="14846" max="14846" width="25" style="9" customWidth="1"/>
    <col min="14847" max="14847" width="29.7109375" style="9" customWidth="1"/>
    <col min="14848" max="14848" width="30.85546875" style="9" customWidth="1"/>
    <col min="14849" max="14865" width="20.85546875" style="9" customWidth="1"/>
    <col min="14866" max="15101" width="11.42578125" style="9"/>
    <col min="15102" max="15102" width="25" style="9" customWidth="1"/>
    <col min="15103" max="15103" width="29.7109375" style="9" customWidth="1"/>
    <col min="15104" max="15104" width="30.85546875" style="9" customWidth="1"/>
    <col min="15105" max="15121" width="20.85546875" style="9" customWidth="1"/>
    <col min="15122" max="15357" width="11.42578125" style="9"/>
    <col min="15358" max="15358" width="25" style="9" customWidth="1"/>
    <col min="15359" max="15359" width="29.7109375" style="9" customWidth="1"/>
    <col min="15360" max="15360" width="30.85546875" style="9" customWidth="1"/>
    <col min="15361" max="15377" width="20.85546875" style="9" customWidth="1"/>
    <col min="15378" max="15613" width="11.42578125" style="9"/>
    <col min="15614" max="15614" width="25" style="9" customWidth="1"/>
    <col min="15615" max="15615" width="29.7109375" style="9" customWidth="1"/>
    <col min="15616" max="15616" width="30.85546875" style="9" customWidth="1"/>
    <col min="15617" max="15633" width="20.85546875" style="9" customWidth="1"/>
    <col min="15634" max="15869" width="11.42578125" style="9"/>
    <col min="15870" max="15870" width="25" style="9" customWidth="1"/>
    <col min="15871" max="15871" width="29.7109375" style="9" customWidth="1"/>
    <col min="15872" max="15872" width="30.85546875" style="9" customWidth="1"/>
    <col min="15873" max="15889" width="20.85546875" style="9" customWidth="1"/>
    <col min="15890" max="16125" width="11.42578125" style="9"/>
    <col min="16126" max="16126" width="25" style="9" customWidth="1"/>
    <col min="16127" max="16127" width="29.7109375" style="9" customWidth="1"/>
    <col min="16128" max="16128" width="30.85546875" style="9" customWidth="1"/>
    <col min="16129" max="16145" width="20.85546875" style="9" customWidth="1"/>
    <col min="16146" max="16384" width="11.42578125" style="9"/>
  </cols>
  <sheetData>
    <row r="1" spans="2:17" ht="18" x14ac:dyDescent="0.2">
      <c r="B1" s="7" t="s">
        <v>49</v>
      </c>
      <c r="C1" s="8" t="s">
        <v>21</v>
      </c>
      <c r="E1" s="10">
        <f>E14*E10</f>
        <v>386182.98892800009</v>
      </c>
    </row>
    <row r="2" spans="2:17" ht="18" x14ac:dyDescent="0.2">
      <c r="B2" s="7" t="s">
        <v>50</v>
      </c>
      <c r="C2" s="124">
        <f>SCENARIO_AS_IS!C2</f>
        <v>0.03</v>
      </c>
      <c r="E2" s="10">
        <f>E15*E10</f>
        <v>59932.46160000001</v>
      </c>
    </row>
    <row r="4" spans="2:17" s="14" customFormat="1" ht="15" thickBot="1" x14ac:dyDescent="0.25">
      <c r="E4" s="14">
        <v>1</v>
      </c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14">
        <v>7</v>
      </c>
      <c r="L4" s="14">
        <v>8</v>
      </c>
      <c r="M4" s="14">
        <v>9</v>
      </c>
      <c r="N4" s="14">
        <v>10</v>
      </c>
      <c r="O4" s="14">
        <v>11</v>
      </c>
      <c r="P4" s="14">
        <v>12</v>
      </c>
      <c r="Q4" s="14">
        <v>13</v>
      </c>
    </row>
    <row r="5" spans="2:17" ht="15" x14ac:dyDescent="0.25">
      <c r="C5" s="23" t="s">
        <v>0</v>
      </c>
      <c r="D5" s="125" t="s">
        <v>1</v>
      </c>
      <c r="E5" s="18">
        <v>2019</v>
      </c>
      <c r="F5" s="17">
        <f t="shared" ref="F5:Q5" si="0">E5+1</f>
        <v>2020</v>
      </c>
      <c r="G5" s="17">
        <f t="shared" si="0"/>
        <v>2021</v>
      </c>
      <c r="H5" s="18">
        <f t="shared" si="0"/>
        <v>2022</v>
      </c>
      <c r="I5" s="18">
        <f t="shared" si="0"/>
        <v>2023</v>
      </c>
      <c r="J5" s="18">
        <f t="shared" si="0"/>
        <v>2024</v>
      </c>
      <c r="K5" s="18">
        <f t="shared" si="0"/>
        <v>2025</v>
      </c>
      <c r="L5" s="18">
        <f t="shared" si="0"/>
        <v>2026</v>
      </c>
      <c r="M5" s="18">
        <f t="shared" si="0"/>
        <v>2027</v>
      </c>
      <c r="N5" s="18">
        <f t="shared" si="0"/>
        <v>2028</v>
      </c>
      <c r="O5" s="18">
        <f t="shared" si="0"/>
        <v>2029</v>
      </c>
      <c r="P5" s="18">
        <f t="shared" si="0"/>
        <v>2030</v>
      </c>
      <c r="Q5" s="18">
        <f t="shared" si="0"/>
        <v>2031</v>
      </c>
    </row>
    <row r="6" spans="2:17" ht="15" x14ac:dyDescent="0.25">
      <c r="B6" s="19" t="s">
        <v>22</v>
      </c>
      <c r="C6" s="126"/>
      <c r="D6" s="127"/>
      <c r="E6" s="128"/>
      <c r="F6" s="19"/>
      <c r="G6" s="22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2:17" x14ac:dyDescent="0.2">
      <c r="B7" s="23" t="s">
        <v>23</v>
      </c>
      <c r="C7" s="23" t="s">
        <v>2</v>
      </c>
      <c r="D7" s="129"/>
      <c r="E7" s="130">
        <f>SCENARIO_AS_IS!E7</f>
        <v>993.6</v>
      </c>
      <c r="F7" s="26">
        <f>SCENARIO_AS_IS!F7</f>
        <v>993.6</v>
      </c>
      <c r="G7" s="26">
        <f>SCENARIO_AS_IS!G7</f>
        <v>993.6</v>
      </c>
      <c r="H7" s="27">
        <f>SCENARIO_AS_IS!H7</f>
        <v>993.6</v>
      </c>
      <c r="I7" s="28">
        <f>SCENARIO_AS_IS!I7</f>
        <v>993.6</v>
      </c>
      <c r="J7" s="28">
        <f>SCENARIO_AS_IS!J7</f>
        <v>993.6</v>
      </c>
      <c r="K7" s="28">
        <f>SCENARIO_AS_IS!K7</f>
        <v>993.6</v>
      </c>
      <c r="L7" s="28">
        <f>SCENARIO_AS_IS!L7</f>
        <v>993.6</v>
      </c>
      <c r="M7" s="28">
        <f>SCENARIO_AS_IS!M7</f>
        <v>993.6</v>
      </c>
      <c r="N7" s="28">
        <f>SCENARIO_AS_IS!N7</f>
        <v>993.6</v>
      </c>
      <c r="O7" s="28">
        <f>SCENARIO_AS_IS!O7</f>
        <v>993.6</v>
      </c>
      <c r="P7" s="28">
        <f>SCENARIO_AS_IS!P7</f>
        <v>993.6</v>
      </c>
      <c r="Q7" s="28">
        <f>SCENARIO_AS_IS!Q7</f>
        <v>993.6</v>
      </c>
    </row>
    <row r="8" spans="2:17" x14ac:dyDescent="0.2">
      <c r="B8" s="29" t="s">
        <v>24</v>
      </c>
      <c r="C8" s="29" t="s">
        <v>3</v>
      </c>
      <c r="D8" s="129"/>
      <c r="E8" s="131">
        <f>SCENARIO_AS_IS!E8</f>
        <v>1100</v>
      </c>
      <c r="F8" s="33">
        <f>SCENARIO_AS_IS!F8</f>
        <v>1100</v>
      </c>
      <c r="G8" s="33">
        <f>SCENARIO_AS_IS!G8</f>
        <v>1100</v>
      </c>
      <c r="H8" s="34">
        <f>SCENARIO_AS_IS!H8</f>
        <v>1100</v>
      </c>
      <c r="I8" s="35">
        <f>SCENARIO_AS_IS!I8</f>
        <v>1100</v>
      </c>
      <c r="J8" s="35">
        <f>SCENARIO_AS_IS!J8</f>
        <v>1100</v>
      </c>
      <c r="K8" s="35">
        <f>SCENARIO_AS_IS!K8</f>
        <v>1100</v>
      </c>
      <c r="L8" s="35">
        <f>SCENARIO_AS_IS!L8</f>
        <v>1100</v>
      </c>
      <c r="M8" s="35">
        <f>SCENARIO_AS_IS!M8</f>
        <v>1100</v>
      </c>
      <c r="N8" s="35">
        <f>SCENARIO_AS_IS!N8</f>
        <v>1100</v>
      </c>
      <c r="O8" s="35">
        <f>SCENARIO_AS_IS!O8</f>
        <v>1100</v>
      </c>
      <c r="P8" s="35">
        <f>SCENARIO_AS_IS!P8</f>
        <v>1100</v>
      </c>
      <c r="Q8" s="35">
        <f>SCENARIO_AS_IS!Q8</f>
        <v>1100</v>
      </c>
    </row>
    <row r="9" spans="2:17" s="40" customFormat="1" x14ac:dyDescent="0.2">
      <c r="B9" s="36" t="s">
        <v>26</v>
      </c>
      <c r="C9" s="36" t="s">
        <v>5</v>
      </c>
      <c r="D9" s="132">
        <f>SCENARIO_AS_IS!D9</f>
        <v>-3.0000000000000001E-3</v>
      </c>
      <c r="E9" s="133">
        <f>SCENARIO_AS_IS!E9</f>
        <v>-3269.0433600000006</v>
      </c>
      <c r="F9" s="39">
        <f>SCENARIO_AS_IS!F9</f>
        <v>-3259.2362299200004</v>
      </c>
      <c r="G9" s="39">
        <f>SCENARIO_AS_IS!G9</f>
        <v>-3249.45852123024</v>
      </c>
      <c r="H9" s="39">
        <f>SCENARIO_AS_IS!H9</f>
        <v>-3239.7101456665496</v>
      </c>
      <c r="I9" s="39">
        <f>SCENARIO_AS_IS!I9</f>
        <v>-3229.9910152295497</v>
      </c>
      <c r="J9" s="39">
        <f>SCENARIO_AS_IS!J9</f>
        <v>-3220.3010421838612</v>
      </c>
      <c r="K9" s="39">
        <f>SCENARIO_AS_IS!K9</f>
        <v>-3210.6401390573096</v>
      </c>
      <c r="L9" s="39">
        <f>SCENARIO_AS_IS!L9</f>
        <v>-3201.0082186401373</v>
      </c>
      <c r="M9" s="39">
        <f>SCENARIO_AS_IS!M9</f>
        <v>-3191.4051939842175</v>
      </c>
      <c r="N9" s="39">
        <f>SCENARIO_AS_IS!N9</f>
        <v>-3181.8309784022649</v>
      </c>
      <c r="O9" s="39">
        <f>SCENARIO_AS_IS!O9</f>
        <v>-3172.2854854670582</v>
      </c>
      <c r="P9" s="39">
        <f>SCENARIO_AS_IS!P9</f>
        <v>-3162.7686290106567</v>
      </c>
      <c r="Q9" s="39">
        <f>SCENARIO_AS_IS!Q9</f>
        <v>-1576.6401615618122</v>
      </c>
    </row>
    <row r="10" spans="2:17" x14ac:dyDescent="0.2">
      <c r="B10" s="29" t="s">
        <v>25</v>
      </c>
      <c r="C10" s="29" t="s">
        <v>4</v>
      </c>
      <c r="D10" s="129">
        <f>SCENARIO_AS_IS!D10</f>
        <v>1092960</v>
      </c>
      <c r="E10" s="34">
        <f>SCENARIO_AS_IS!E10</f>
        <v>1089681.1200000001</v>
      </c>
      <c r="F10" s="35">
        <f>SCENARIO_AS_IS!F10</f>
        <v>1086412.0766400001</v>
      </c>
      <c r="G10" s="35">
        <f>SCENARIO_AS_IS!G10</f>
        <v>1083152.84041008</v>
      </c>
      <c r="H10" s="35">
        <f>SCENARIO_AS_IS!H10</f>
        <v>1079903.3818888499</v>
      </c>
      <c r="I10" s="35">
        <f>SCENARIO_AS_IS!I10</f>
        <v>1076663.6717431832</v>
      </c>
      <c r="J10" s="35">
        <f>SCENARIO_AS_IS!J10</f>
        <v>1073433.6807279538</v>
      </c>
      <c r="K10" s="35">
        <f>SCENARIO_AS_IS!K10</f>
        <v>1070213.3796857698</v>
      </c>
      <c r="L10" s="35">
        <f>SCENARIO_AS_IS!L10</f>
        <v>1067002.7395467125</v>
      </c>
      <c r="M10" s="35">
        <f>SCENARIO_AS_IS!M10</f>
        <v>1063801.7313280725</v>
      </c>
      <c r="N10" s="35">
        <f>SCENARIO_AS_IS!N10</f>
        <v>1060610.3261340882</v>
      </c>
      <c r="O10" s="35">
        <f>SCENARIO_AS_IS!O10</f>
        <v>1057428.495155686</v>
      </c>
      <c r="P10" s="35">
        <f>SCENARIO_AS_IS!P10</f>
        <v>1054256.2096702189</v>
      </c>
      <c r="Q10" s="35">
        <f>SCENARIO_AS_IS!Q10</f>
        <v>525546.72052060405</v>
      </c>
    </row>
    <row r="11" spans="2:17" x14ac:dyDescent="0.2">
      <c r="B11" s="29" t="s">
        <v>27</v>
      </c>
      <c r="C11" s="29" t="s">
        <v>6</v>
      </c>
      <c r="D11" s="129">
        <f>SCENARIO_AS_IS!D11</f>
        <v>0</v>
      </c>
      <c r="E11" s="134">
        <f>SCENARIO_AS_IS!E11</f>
        <v>0.99700000000000011</v>
      </c>
      <c r="F11" s="43">
        <f>SCENARIO_AS_IS!F11</f>
        <v>0.99400900000000014</v>
      </c>
      <c r="G11" s="43">
        <f>SCENARIO_AS_IS!G11</f>
        <v>0.99102697300000009</v>
      </c>
      <c r="H11" s="43">
        <f>SCENARIO_AS_IS!H11</f>
        <v>0.98805389208100014</v>
      </c>
      <c r="I11" s="43">
        <f>SCENARIO_AS_IS!I11</f>
        <v>0.985089730404757</v>
      </c>
      <c r="J11" s="43">
        <f>SCENARIO_AS_IS!J11</f>
        <v>0.98213446121354286</v>
      </c>
      <c r="K11" s="43">
        <f>SCENARIO_AS_IS!K11</f>
        <v>0.97918805782990204</v>
      </c>
      <c r="L11" s="43">
        <f>SCENARIO_AS_IS!L11</f>
        <v>0.97625049365641237</v>
      </c>
      <c r="M11" s="43">
        <f>SCENARIO_AS_IS!M11</f>
        <v>0.97332174217544332</v>
      </c>
      <c r="N11" s="43">
        <f>SCENARIO_AS_IS!N11</f>
        <v>0.97040177694891694</v>
      </c>
      <c r="O11" s="43">
        <f>SCENARIO_AS_IS!O11</f>
        <v>0.96749057161807028</v>
      </c>
      <c r="P11" s="43">
        <f>SCENARIO_AS_IS!P11</f>
        <v>0.96458809990321592</v>
      </c>
      <c r="Q11" s="43">
        <f>SCENARIO_AS_IS!Q11</f>
        <v>0.48084716780175307</v>
      </c>
    </row>
    <row r="12" spans="2:17" ht="15.75" thickBot="1" x14ac:dyDescent="0.3">
      <c r="B12" s="44" t="s">
        <v>28</v>
      </c>
      <c r="C12" s="44" t="s">
        <v>7</v>
      </c>
      <c r="D12" s="135"/>
      <c r="E12" s="136">
        <f>SCENARIO_AS_IS!I14</f>
        <v>0.443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17" ht="15.75" thickBot="1" x14ac:dyDescent="0.3">
      <c r="B13" s="137" t="s">
        <v>62</v>
      </c>
      <c r="C13" s="138" t="s">
        <v>5</v>
      </c>
      <c r="D13" s="138"/>
      <c r="E13" s="139">
        <v>-0.2</v>
      </c>
      <c r="F13" s="14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7" ht="15" x14ac:dyDescent="0.25">
      <c r="B14" s="29" t="s">
        <v>30</v>
      </c>
      <c r="C14" s="29" t="s">
        <v>7</v>
      </c>
      <c r="D14" s="141"/>
      <c r="E14" s="142">
        <f>$E$12*(1+$E$13)</f>
        <v>0.35440000000000005</v>
      </c>
      <c r="F14" s="52">
        <f>E14</f>
        <v>0.35440000000000005</v>
      </c>
      <c r="G14" s="52">
        <f t="shared" ref="G14:Q15" si="1">F14</f>
        <v>0.35440000000000005</v>
      </c>
      <c r="H14" s="52">
        <f t="shared" si="1"/>
        <v>0.35440000000000005</v>
      </c>
      <c r="I14" s="52">
        <f t="shared" si="1"/>
        <v>0.35440000000000005</v>
      </c>
      <c r="J14" s="52">
        <f t="shared" si="1"/>
        <v>0.35440000000000005</v>
      </c>
      <c r="K14" s="52">
        <f t="shared" si="1"/>
        <v>0.35440000000000005</v>
      </c>
      <c r="L14" s="52">
        <f t="shared" si="1"/>
        <v>0.35440000000000005</v>
      </c>
      <c r="M14" s="52">
        <f t="shared" si="1"/>
        <v>0.35440000000000005</v>
      </c>
      <c r="N14" s="52">
        <f t="shared" si="1"/>
        <v>0.35440000000000005</v>
      </c>
      <c r="O14" s="52">
        <f t="shared" si="1"/>
        <v>0.35440000000000005</v>
      </c>
      <c r="P14" s="52">
        <f t="shared" si="1"/>
        <v>0.35440000000000005</v>
      </c>
      <c r="Q14" s="52">
        <f t="shared" si="1"/>
        <v>0.35440000000000005</v>
      </c>
    </row>
    <row r="15" spans="2:17" ht="15.75" thickBot="1" x14ac:dyDescent="0.3">
      <c r="B15" s="29" t="s">
        <v>31</v>
      </c>
      <c r="C15" s="29"/>
      <c r="D15" s="143"/>
      <c r="E15" s="144">
        <f>SCENARIO_AS_IS!E15</f>
        <v>5.5E-2</v>
      </c>
      <c r="F15" s="54">
        <f>E15</f>
        <v>5.5E-2</v>
      </c>
      <c r="G15" s="54">
        <f t="shared" si="1"/>
        <v>5.5E-2</v>
      </c>
      <c r="H15" s="54">
        <f t="shared" si="1"/>
        <v>5.5E-2</v>
      </c>
      <c r="I15" s="54">
        <f t="shared" si="1"/>
        <v>5.5E-2</v>
      </c>
      <c r="J15" s="54">
        <f t="shared" si="1"/>
        <v>5.5E-2</v>
      </c>
      <c r="K15" s="54">
        <f t="shared" si="1"/>
        <v>5.5E-2</v>
      </c>
      <c r="L15" s="54">
        <f t="shared" si="1"/>
        <v>5.5E-2</v>
      </c>
      <c r="M15" s="54">
        <f t="shared" si="1"/>
        <v>5.5E-2</v>
      </c>
      <c r="N15" s="54">
        <f t="shared" si="1"/>
        <v>5.5E-2</v>
      </c>
      <c r="O15" s="54">
        <f t="shared" si="1"/>
        <v>5.5E-2</v>
      </c>
      <c r="P15" s="54">
        <f t="shared" si="1"/>
        <v>5.5E-2</v>
      </c>
      <c r="Q15" s="54">
        <f t="shared" si="1"/>
        <v>5.5E-2</v>
      </c>
    </row>
    <row r="16" spans="2:17" ht="15" x14ac:dyDescent="0.25">
      <c r="B16" s="19" t="s">
        <v>32</v>
      </c>
      <c r="C16" s="19" t="s">
        <v>8</v>
      </c>
      <c r="D16" s="64"/>
      <c r="E16" s="55">
        <f>(E14*E10)+(E15*E10)*(1+$C$18)^(E4-1)</f>
        <v>446115.45052800013</v>
      </c>
      <c r="F16" s="55">
        <f t="shared" ref="F16:Q16" si="2">(F14*F10)+(F15*F10)*(1+$C$18)^(F4-1)</f>
        <v>445972.15746072005</v>
      </c>
      <c r="G16" s="55">
        <f t="shared" si="2"/>
        <v>445849.53847527801</v>
      </c>
      <c r="H16" s="55">
        <f t="shared" si="2"/>
        <v>445747.87448622112</v>
      </c>
      <c r="I16" s="55">
        <f t="shared" si="2"/>
        <v>445667.45137470192</v>
      </c>
      <c r="J16" s="55">
        <f t="shared" si="2"/>
        <v>445608.56007198972</v>
      </c>
      <c r="K16" s="55">
        <f t="shared" si="2"/>
        <v>445571.49664439645</v>
      </c>
      <c r="L16" s="55">
        <f t="shared" si="2"/>
        <v>445556.56237964542</v>
      </c>
      <c r="M16" s="55">
        <f t="shared" si="2"/>
        <v>445564.06387470325</v>
      </c>
      <c r="N16" s="55">
        <f t="shared" si="2"/>
        <v>445594.31312510232</v>
      </c>
      <c r="O16" s="55">
        <f t="shared" si="2"/>
        <v>445647.62761577807</v>
      </c>
      <c r="P16" s="55">
        <f t="shared" si="2"/>
        <v>445724.33041344676</v>
      </c>
      <c r="Q16" s="55">
        <f t="shared" si="2"/>
        <v>222912.37513027524</v>
      </c>
    </row>
    <row r="17" spans="2:17" s="56" customFormat="1" x14ac:dyDescent="0.2"/>
    <row r="18" spans="2:17" ht="15" x14ac:dyDescent="0.25">
      <c r="B18" s="19" t="s">
        <v>33</v>
      </c>
      <c r="C18" s="145">
        <f>SCENARIO_AS_IS!C18</f>
        <v>0.02</v>
      </c>
      <c r="D18" s="19" t="s">
        <v>61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2:17" x14ac:dyDescent="0.2">
      <c r="B19" s="23" t="s">
        <v>34</v>
      </c>
      <c r="C19" s="15"/>
      <c r="D19" s="57"/>
      <c r="E19" s="58">
        <f>SCENARIO_AS_IS!E19</f>
        <v>-2488</v>
      </c>
      <c r="F19" s="58">
        <f t="shared" ref="F19:P22" si="3">E19*(1+$C$18)</f>
        <v>-2537.7600000000002</v>
      </c>
      <c r="G19" s="58">
        <f t="shared" si="3"/>
        <v>-2588.5152000000003</v>
      </c>
      <c r="H19" s="58">
        <f t="shared" si="3"/>
        <v>-2640.2855040000004</v>
      </c>
      <c r="I19" s="58">
        <f t="shared" si="3"/>
        <v>-2693.0912140800006</v>
      </c>
      <c r="J19" s="58">
        <f t="shared" si="3"/>
        <v>-2746.9530383616006</v>
      </c>
      <c r="K19" s="58">
        <f t="shared" si="3"/>
        <v>-2801.8920991288328</v>
      </c>
      <c r="L19" s="58">
        <f t="shared" si="3"/>
        <v>-2857.9299411114093</v>
      </c>
      <c r="M19" s="58">
        <f t="shared" si="3"/>
        <v>-2915.0885399336375</v>
      </c>
      <c r="N19" s="58">
        <f t="shared" si="3"/>
        <v>-2973.3903107323104</v>
      </c>
      <c r="O19" s="58">
        <f t="shared" si="3"/>
        <v>-3032.8581169469567</v>
      </c>
      <c r="P19" s="58">
        <f t="shared" si="3"/>
        <v>-3093.5152792858958</v>
      </c>
      <c r="Q19" s="58">
        <f>P19*(1+$C$18)/2</f>
        <v>-1577.692792435807</v>
      </c>
    </row>
    <row r="20" spans="2:17" x14ac:dyDescent="0.2">
      <c r="B20" s="29" t="s">
        <v>35</v>
      </c>
      <c r="C20" s="30"/>
      <c r="D20" s="59"/>
      <c r="E20" s="60">
        <f>SCENARIO_AS_IS!E20</f>
        <v>-22000</v>
      </c>
      <c r="F20" s="60">
        <f t="shared" si="3"/>
        <v>-22440</v>
      </c>
      <c r="G20" s="60">
        <f t="shared" si="3"/>
        <v>-22888.799999999999</v>
      </c>
      <c r="H20" s="60">
        <f t="shared" si="3"/>
        <v>-23346.576000000001</v>
      </c>
      <c r="I20" s="60">
        <f t="shared" si="3"/>
        <v>-23813.507520000003</v>
      </c>
      <c r="J20" s="60">
        <f t="shared" si="3"/>
        <v>-24289.777670400003</v>
      </c>
      <c r="K20" s="60">
        <f t="shared" si="3"/>
        <v>-24775.573223808002</v>
      </c>
      <c r="L20" s="60">
        <f t="shared" si="3"/>
        <v>-25271.084688284162</v>
      </c>
      <c r="M20" s="60">
        <f t="shared" si="3"/>
        <v>-25776.506382049844</v>
      </c>
      <c r="N20" s="60">
        <f t="shared" si="3"/>
        <v>-26292.036509690843</v>
      </c>
      <c r="O20" s="60">
        <f t="shared" si="3"/>
        <v>-26817.87723988466</v>
      </c>
      <c r="P20" s="60">
        <f t="shared" si="3"/>
        <v>-27354.234784682354</v>
      </c>
      <c r="Q20" s="60">
        <f>P20*(1+$C$18)/2</f>
        <v>-13950.659740188001</v>
      </c>
    </row>
    <row r="21" spans="2:17" x14ac:dyDescent="0.2">
      <c r="B21" s="29" t="s">
        <v>36</v>
      </c>
      <c r="C21" s="30"/>
      <c r="D21" s="59"/>
      <c r="E21" s="60">
        <f>SCENARIO_AS_IS!E21</f>
        <v>-15000</v>
      </c>
      <c r="F21" s="60">
        <f>E21*(1+$C$18)</f>
        <v>-15300</v>
      </c>
      <c r="G21" s="60">
        <f t="shared" si="3"/>
        <v>-15606</v>
      </c>
      <c r="H21" s="60">
        <f t="shared" si="3"/>
        <v>-15918.12</v>
      </c>
      <c r="I21" s="60">
        <f t="shared" si="3"/>
        <v>-16236.482400000001</v>
      </c>
      <c r="J21" s="60">
        <f t="shared" si="3"/>
        <v>-16561.212048000001</v>
      </c>
      <c r="K21" s="60">
        <f t="shared" si="3"/>
        <v>-16892.436288960002</v>
      </c>
      <c r="L21" s="60">
        <f t="shared" si="3"/>
        <v>-17230.285014739202</v>
      </c>
      <c r="M21" s="60">
        <f t="shared" si="3"/>
        <v>-17574.890715033987</v>
      </c>
      <c r="N21" s="60">
        <f t="shared" si="3"/>
        <v>-17926.388529334668</v>
      </c>
      <c r="O21" s="60">
        <f t="shared" si="3"/>
        <v>-18284.916299921362</v>
      </c>
      <c r="P21" s="60">
        <f t="shared" si="3"/>
        <v>-18650.614625919789</v>
      </c>
      <c r="Q21" s="60">
        <f>P21*(1+$C$18)/2</f>
        <v>-9511.8134592190927</v>
      </c>
    </row>
    <row r="22" spans="2:17" x14ac:dyDescent="0.2">
      <c r="B22" s="29" t="s">
        <v>40</v>
      </c>
      <c r="C22" s="30"/>
      <c r="D22" s="59"/>
      <c r="E22" s="60">
        <f>SCENARIO_AS_IS!E22</f>
        <v>-2500</v>
      </c>
      <c r="F22" s="60">
        <f>E22*(1+$C$18)</f>
        <v>-2550</v>
      </c>
      <c r="G22" s="60">
        <f t="shared" si="3"/>
        <v>-2601</v>
      </c>
      <c r="H22" s="60">
        <f t="shared" si="3"/>
        <v>-2653.02</v>
      </c>
      <c r="I22" s="60">
        <f t="shared" si="3"/>
        <v>-2706.0803999999998</v>
      </c>
      <c r="J22" s="60">
        <f t="shared" si="3"/>
        <v>-2760.2020079999998</v>
      </c>
      <c r="K22" s="60">
        <f t="shared" si="3"/>
        <v>-2815.40604816</v>
      </c>
      <c r="L22" s="60">
        <f t="shared" si="3"/>
        <v>-2871.7141691232</v>
      </c>
      <c r="M22" s="60">
        <f t="shared" si="3"/>
        <v>-2929.148452505664</v>
      </c>
      <c r="N22" s="60">
        <f t="shared" si="3"/>
        <v>-2987.7314215557772</v>
      </c>
      <c r="O22" s="60">
        <f t="shared" si="3"/>
        <v>-3047.4860499868928</v>
      </c>
      <c r="P22" s="60">
        <f t="shared" si="3"/>
        <v>-3108.4357709866308</v>
      </c>
      <c r="Q22" s="60">
        <f>P22*(1+$C$18)/2</f>
        <v>-1585.3022432031817</v>
      </c>
    </row>
    <row r="23" spans="2:17" ht="15" x14ac:dyDescent="0.25">
      <c r="B23" s="29" t="s">
        <v>60</v>
      </c>
      <c r="C23" s="29"/>
      <c r="D23" s="146">
        <f>SCENARIO_AS_IS!D23</f>
        <v>-130000</v>
      </c>
      <c r="E23" s="61">
        <f>D23/INT(Q4/3)</f>
        <v>-32500</v>
      </c>
      <c r="F23" s="60">
        <f>E23</f>
        <v>-32500</v>
      </c>
      <c r="G23" s="60">
        <f t="shared" ref="G23:I23" si="4">F23</f>
        <v>-32500</v>
      </c>
      <c r="H23" s="60">
        <f t="shared" si="4"/>
        <v>-32500</v>
      </c>
      <c r="I23" s="60">
        <f t="shared" si="4"/>
        <v>-32500</v>
      </c>
      <c r="J23" s="60"/>
      <c r="K23" s="60"/>
      <c r="L23" s="60"/>
      <c r="M23" s="60"/>
      <c r="N23" s="60"/>
      <c r="O23" s="60"/>
      <c r="P23" s="60"/>
      <c r="Q23" s="60"/>
    </row>
    <row r="24" spans="2:17" ht="15" x14ac:dyDescent="0.25">
      <c r="B24" s="29" t="s">
        <v>37</v>
      </c>
      <c r="C24" s="29"/>
      <c r="D24" s="147">
        <f>SCENARIO_AS_IS!D24</f>
        <v>-5.4794520547945202E-2</v>
      </c>
      <c r="E24" s="62">
        <f>$D$24*E16</f>
        <v>-24444.682220712333</v>
      </c>
      <c r="F24" s="60">
        <f>F16*$D$24</f>
        <v>-24436.830545792876</v>
      </c>
      <c r="G24" s="60">
        <f t="shared" ref="G24:P24" si="5">G16*$D$24</f>
        <v>-24430.111697275504</v>
      </c>
      <c r="H24" s="60">
        <f t="shared" si="5"/>
        <v>-24424.541067738141</v>
      </c>
      <c r="I24" s="60">
        <f t="shared" si="5"/>
        <v>-24420.134321901474</v>
      </c>
      <c r="J24" s="60">
        <f t="shared" si="5"/>
        <v>-24416.907401204913</v>
      </c>
      <c r="K24" s="60">
        <f t="shared" si="5"/>
        <v>-24414.876528460078</v>
      </c>
      <c r="L24" s="60">
        <f t="shared" si="5"/>
        <v>-24414.05821258331</v>
      </c>
      <c r="M24" s="60">
        <f t="shared" si="5"/>
        <v>-24414.469253408395</v>
      </c>
      <c r="N24" s="60">
        <f t="shared" si="5"/>
        <v>-24416.126746580947</v>
      </c>
      <c r="O24" s="60">
        <f t="shared" si="5"/>
        <v>-24419.048088535783</v>
      </c>
      <c r="P24" s="60">
        <f t="shared" si="5"/>
        <v>-24423.250981558725</v>
      </c>
      <c r="Q24" s="60">
        <f>Q16*$D$24/2</f>
        <v>-6107.1883597335682</v>
      </c>
    </row>
    <row r="25" spans="2:17" x14ac:dyDescent="0.2">
      <c r="B25" s="29" t="s">
        <v>38</v>
      </c>
      <c r="C25" s="30"/>
      <c r="D25" s="59"/>
      <c r="E25" s="60">
        <f>SCENARIO_AS_IS!E25</f>
        <v>-15000</v>
      </c>
      <c r="F25" s="60">
        <f t="shared" ref="F25:P29" si="6">E25*(1+$C$18)</f>
        <v>-15300</v>
      </c>
      <c r="G25" s="60">
        <f t="shared" si="6"/>
        <v>-15606</v>
      </c>
      <c r="H25" s="60">
        <f t="shared" si="6"/>
        <v>-15918.12</v>
      </c>
      <c r="I25" s="60">
        <f t="shared" si="6"/>
        <v>-16236.482400000001</v>
      </c>
      <c r="J25" s="60">
        <f t="shared" si="6"/>
        <v>-16561.212048000001</v>
      </c>
      <c r="K25" s="60">
        <f t="shared" si="6"/>
        <v>-16892.436288960002</v>
      </c>
      <c r="L25" s="60">
        <f t="shared" si="6"/>
        <v>-17230.285014739202</v>
      </c>
      <c r="M25" s="60">
        <f t="shared" si="6"/>
        <v>-17574.890715033987</v>
      </c>
      <c r="N25" s="60">
        <f t="shared" si="6"/>
        <v>-17926.388529334668</v>
      </c>
      <c r="O25" s="60">
        <f t="shared" si="6"/>
        <v>-18284.916299921362</v>
      </c>
      <c r="P25" s="60">
        <f t="shared" si="6"/>
        <v>-18650.614625919789</v>
      </c>
      <c r="Q25" s="60">
        <f>P25*(1+$C$18)/2</f>
        <v>-9511.8134592190927</v>
      </c>
    </row>
    <row r="26" spans="2:17" x14ac:dyDescent="0.2">
      <c r="B26" s="29" t="s">
        <v>39</v>
      </c>
      <c r="C26" s="30"/>
      <c r="D26" s="59"/>
      <c r="E26" s="60">
        <f>SCENARIO_AS_IS!E26</f>
        <v>-500</v>
      </c>
      <c r="F26" s="60">
        <f t="shared" si="6"/>
        <v>-510</v>
      </c>
      <c r="G26" s="60">
        <f t="shared" si="6"/>
        <v>-520.20000000000005</v>
      </c>
      <c r="H26" s="60">
        <f t="shared" si="6"/>
        <v>-530.60400000000004</v>
      </c>
      <c r="I26" s="60">
        <f t="shared" si="6"/>
        <v>-541.21608000000003</v>
      </c>
      <c r="J26" s="60">
        <f t="shared" si="6"/>
        <v>-552.0404016</v>
      </c>
      <c r="K26" s="60">
        <f t="shared" si="6"/>
        <v>-563.08120963199997</v>
      </c>
      <c r="L26" s="60">
        <f t="shared" si="6"/>
        <v>-574.34283382464002</v>
      </c>
      <c r="M26" s="60">
        <f t="shared" si="6"/>
        <v>-585.82969050113286</v>
      </c>
      <c r="N26" s="60">
        <f t="shared" si="6"/>
        <v>-597.54628431115555</v>
      </c>
      <c r="O26" s="60">
        <f t="shared" si="6"/>
        <v>-609.49720999737872</v>
      </c>
      <c r="P26" s="60">
        <f t="shared" si="6"/>
        <v>-621.68715419732632</v>
      </c>
      <c r="Q26" s="60">
        <f>P26*(1+$C$18)/2</f>
        <v>-317.06044864063642</v>
      </c>
    </row>
    <row r="27" spans="2:17" x14ac:dyDescent="0.2">
      <c r="B27" s="29" t="s">
        <v>41</v>
      </c>
      <c r="C27" s="30"/>
      <c r="D27" s="59"/>
      <c r="E27" s="60">
        <f>SCENARIO_AS_IS!E27</f>
        <v>-7622</v>
      </c>
      <c r="F27" s="60">
        <f t="shared" si="6"/>
        <v>-7774.4400000000005</v>
      </c>
      <c r="G27" s="60">
        <f t="shared" si="6"/>
        <v>-7929.9288000000006</v>
      </c>
      <c r="H27" s="60">
        <f t="shared" si="6"/>
        <v>-8088.5273760000009</v>
      </c>
      <c r="I27" s="60">
        <f t="shared" si="6"/>
        <v>-8250.2979235200019</v>
      </c>
      <c r="J27" s="60">
        <f t="shared" si="6"/>
        <v>-8415.3038819904014</v>
      </c>
      <c r="K27" s="60">
        <f t="shared" si="6"/>
        <v>-8583.6099596302101</v>
      </c>
      <c r="L27" s="60">
        <f t="shared" si="6"/>
        <v>-8755.2821588228144</v>
      </c>
      <c r="M27" s="60">
        <f t="shared" si="6"/>
        <v>-8930.3878019992717</v>
      </c>
      <c r="N27" s="60">
        <f t="shared" si="6"/>
        <v>-9108.995558039258</v>
      </c>
      <c r="O27" s="60">
        <f t="shared" si="6"/>
        <v>-9291.1754692000432</v>
      </c>
      <c r="P27" s="60">
        <f t="shared" si="6"/>
        <v>-9476.9989785840444</v>
      </c>
      <c r="Q27" s="60">
        <f>P27*(1+$C$18)/2</f>
        <v>-4833.2694790778623</v>
      </c>
    </row>
    <row r="28" spans="2:17" x14ac:dyDescent="0.2">
      <c r="B28" s="29" t="s">
        <v>42</v>
      </c>
      <c r="C28" s="30"/>
      <c r="D28" s="59"/>
      <c r="E28" s="60">
        <f>SCENARIO_AS_IS!E28</f>
        <v>-7600</v>
      </c>
      <c r="F28" s="60">
        <f t="shared" si="6"/>
        <v>-7752</v>
      </c>
      <c r="G28" s="60">
        <f t="shared" si="6"/>
        <v>-7907.04</v>
      </c>
      <c r="H28" s="60">
        <f t="shared" si="6"/>
        <v>-8065.1808000000001</v>
      </c>
      <c r="I28" s="60">
        <f t="shared" si="6"/>
        <v>-8226.4844159999993</v>
      </c>
      <c r="J28" s="60">
        <f t="shared" si="6"/>
        <v>-8391.0141043200001</v>
      </c>
      <c r="K28" s="60">
        <f t="shared" si="6"/>
        <v>-8558.8343864064009</v>
      </c>
      <c r="L28" s="60">
        <f t="shared" si="6"/>
        <v>-8730.0110741345288</v>
      </c>
      <c r="M28" s="60">
        <f t="shared" si="6"/>
        <v>-8904.6112956172201</v>
      </c>
      <c r="N28" s="60">
        <f t="shared" si="6"/>
        <v>-9082.7035215295655</v>
      </c>
      <c r="O28" s="60">
        <f t="shared" si="6"/>
        <v>-9264.3575919601572</v>
      </c>
      <c r="P28" s="60">
        <f t="shared" si="6"/>
        <v>-9449.6447437993611</v>
      </c>
      <c r="Q28" s="60">
        <f>P28*(1+$C$18)/2</f>
        <v>-4819.3188193376745</v>
      </c>
    </row>
    <row r="29" spans="2:17" x14ac:dyDescent="0.2">
      <c r="B29" s="29" t="s">
        <v>43</v>
      </c>
      <c r="C29" s="30"/>
      <c r="D29" s="59"/>
      <c r="E29" s="60">
        <f>SCENARIO_AS_IS!E29</f>
        <v>-4500</v>
      </c>
      <c r="F29" s="60">
        <f t="shared" si="6"/>
        <v>-4590</v>
      </c>
      <c r="G29" s="60">
        <f t="shared" ref="G29" si="7">F29*(1+$C$18)</f>
        <v>-4681.8</v>
      </c>
      <c r="H29" s="60">
        <f t="shared" ref="H29" si="8">G29*(1+$C$18)</f>
        <v>-4775.4360000000006</v>
      </c>
      <c r="I29" s="60">
        <f t="shared" ref="I29" si="9">H29*(1+$C$18)</f>
        <v>-4870.9447200000004</v>
      </c>
      <c r="J29" s="60">
        <f t="shared" ref="J29" si="10">I29*(1+$C$18)</f>
        <v>-4968.3636144000002</v>
      </c>
      <c r="K29" s="60">
        <f t="shared" ref="K29" si="11">J29*(1+$C$18)</f>
        <v>-5067.7308866880003</v>
      </c>
      <c r="L29" s="60">
        <f t="shared" ref="L29" si="12">K29*(1+$C$18)</f>
        <v>-5169.0855044217606</v>
      </c>
      <c r="M29" s="60">
        <f t="shared" ref="M29" si="13">L29*(1+$C$18)</f>
        <v>-5272.4672145101958</v>
      </c>
      <c r="N29" s="60">
        <f t="shared" ref="N29" si="14">M29*(1+$C$18)</f>
        <v>-5377.9165588003998</v>
      </c>
      <c r="O29" s="60">
        <f t="shared" ref="O29" si="15">N29*(1+$C$18)</f>
        <v>-5485.4748899764081</v>
      </c>
      <c r="P29" s="60">
        <f t="shared" ref="P29" si="16">O29*(1+$C$18)</f>
        <v>-5595.1843877759366</v>
      </c>
      <c r="Q29" s="60">
        <f t="shared" ref="Q29" si="17">P29*(1+$C$18)</f>
        <v>-5707.0880755314556</v>
      </c>
    </row>
    <row r="30" spans="2:17" x14ac:dyDescent="0.2">
      <c r="B30" s="29" t="s">
        <v>14</v>
      </c>
      <c r="C30" s="30"/>
      <c r="D30" s="59"/>
      <c r="E30" s="60">
        <f>SCENARIO_AS_IS!E30</f>
        <v>0</v>
      </c>
      <c r="F30" s="60">
        <f t="shared" ref="F30:P30" si="18">E30*(1+$C$18)</f>
        <v>0</v>
      </c>
      <c r="G30" s="60">
        <f t="shared" si="18"/>
        <v>0</v>
      </c>
      <c r="H30" s="60">
        <f t="shared" si="18"/>
        <v>0</v>
      </c>
      <c r="I30" s="60">
        <f t="shared" si="18"/>
        <v>0</v>
      </c>
      <c r="J30" s="60">
        <f t="shared" si="18"/>
        <v>0</v>
      </c>
      <c r="K30" s="60">
        <f t="shared" si="18"/>
        <v>0</v>
      </c>
      <c r="L30" s="60">
        <f t="shared" si="18"/>
        <v>0</v>
      </c>
      <c r="M30" s="60">
        <f t="shared" si="18"/>
        <v>0</v>
      </c>
      <c r="N30" s="60">
        <f t="shared" si="18"/>
        <v>0</v>
      </c>
      <c r="O30" s="60">
        <f t="shared" si="18"/>
        <v>0</v>
      </c>
      <c r="P30" s="60">
        <f t="shared" si="18"/>
        <v>0</v>
      </c>
      <c r="Q30" s="60">
        <f>P30*(1+$C$18)/2</f>
        <v>0</v>
      </c>
    </row>
    <row r="31" spans="2:17" x14ac:dyDescent="0.2">
      <c r="B31" s="29" t="s">
        <v>44</v>
      </c>
      <c r="C31" s="30"/>
      <c r="D31" s="59"/>
      <c r="E31" s="60">
        <f>SCENARIO_AS_IS!E31</f>
        <v>-10200</v>
      </c>
      <c r="F31" s="60">
        <f>E31</f>
        <v>-10200</v>
      </c>
      <c r="G31" s="60">
        <f t="shared" ref="G31:P31" si="19">F31</f>
        <v>-10200</v>
      </c>
      <c r="H31" s="60">
        <f t="shared" si="19"/>
        <v>-10200</v>
      </c>
      <c r="I31" s="60">
        <f t="shared" si="19"/>
        <v>-10200</v>
      </c>
      <c r="J31" s="60">
        <f t="shared" si="19"/>
        <v>-10200</v>
      </c>
      <c r="K31" s="60">
        <f t="shared" si="19"/>
        <v>-10200</v>
      </c>
      <c r="L31" s="60">
        <f t="shared" si="19"/>
        <v>-10200</v>
      </c>
      <c r="M31" s="60">
        <f t="shared" si="19"/>
        <v>-10200</v>
      </c>
      <c r="N31" s="60">
        <f t="shared" si="19"/>
        <v>-10200</v>
      </c>
      <c r="O31" s="60">
        <f t="shared" si="19"/>
        <v>-10200</v>
      </c>
      <c r="P31" s="60">
        <f t="shared" si="19"/>
        <v>-10200</v>
      </c>
      <c r="Q31" s="60">
        <f>P31/2</f>
        <v>-5100</v>
      </c>
    </row>
    <row r="32" spans="2:17" ht="15" x14ac:dyDescent="0.25">
      <c r="B32" s="63" t="s">
        <v>45</v>
      </c>
      <c r="C32" s="64" t="s">
        <v>8</v>
      </c>
      <c r="D32" s="65"/>
      <c r="E32" s="66">
        <f>SUM(E19:E31)</f>
        <v>-144354.68222071233</v>
      </c>
      <c r="F32" s="66">
        <f t="shared" ref="F32:Q32" si="20">SUM(F19:F31)</f>
        <v>-145891.03054579289</v>
      </c>
      <c r="G32" s="66">
        <f t="shared" si="20"/>
        <v>-147459.39569727547</v>
      </c>
      <c r="H32" s="66">
        <f t="shared" si="20"/>
        <v>-149060.41074773812</v>
      </c>
      <c r="I32" s="66">
        <f t="shared" si="20"/>
        <v>-150694.72139550149</v>
      </c>
      <c r="J32" s="66">
        <f t="shared" si="20"/>
        <v>-119862.98621627693</v>
      </c>
      <c r="K32" s="66">
        <f t="shared" si="20"/>
        <v>-121565.87691983352</v>
      </c>
      <c r="L32" s="66">
        <f t="shared" si="20"/>
        <v>-123304.07861178422</v>
      </c>
      <c r="M32" s="66">
        <f t="shared" si="20"/>
        <v>-125078.29006059334</v>
      </c>
      <c r="N32" s="66">
        <f t="shared" si="20"/>
        <v>-126889.22396990958</v>
      </c>
      <c r="O32" s="66">
        <f t="shared" si="20"/>
        <v>-128737.607256331</v>
      </c>
      <c r="P32" s="66">
        <f t="shared" si="20"/>
        <v>-130624.18133270985</v>
      </c>
      <c r="Q32" s="66">
        <f t="shared" si="20"/>
        <v>-63021.206876586381</v>
      </c>
    </row>
    <row r="33" spans="2:17" s="56" customFormat="1" x14ac:dyDescent="0.2"/>
    <row r="34" spans="2:17" s="71" customFormat="1" ht="15.75" x14ac:dyDescent="0.25">
      <c r="B34" s="67" t="s">
        <v>54</v>
      </c>
      <c r="C34" s="68"/>
      <c r="D34" s="69"/>
      <c r="E34" s="70">
        <f>E16+E32</f>
        <v>301760.76830728783</v>
      </c>
      <c r="F34" s="70">
        <f t="shared" ref="F34:Q34" si="21">F16+F32</f>
        <v>300081.12691492715</v>
      </c>
      <c r="G34" s="70">
        <f t="shared" si="21"/>
        <v>298390.14277800254</v>
      </c>
      <c r="H34" s="70">
        <f t="shared" si="21"/>
        <v>296687.46373848303</v>
      </c>
      <c r="I34" s="70">
        <f t="shared" si="21"/>
        <v>294972.72997920041</v>
      </c>
      <c r="J34" s="70">
        <f t="shared" si="21"/>
        <v>325745.57385571278</v>
      </c>
      <c r="K34" s="70">
        <f t="shared" si="21"/>
        <v>324005.61972456292</v>
      </c>
      <c r="L34" s="70">
        <f t="shared" si="21"/>
        <v>322252.48376786121</v>
      </c>
      <c r="M34" s="70">
        <f t="shared" si="21"/>
        <v>320485.77381410991</v>
      </c>
      <c r="N34" s="70">
        <f t="shared" si="21"/>
        <v>318705.08915519272</v>
      </c>
      <c r="O34" s="70">
        <f t="shared" si="21"/>
        <v>316910.02035944705</v>
      </c>
      <c r="P34" s="70">
        <f t="shared" si="21"/>
        <v>315100.14908073691</v>
      </c>
      <c r="Q34" s="70">
        <f t="shared" si="21"/>
        <v>159891.16825368884</v>
      </c>
    </row>
    <row r="35" spans="2:17" ht="18" x14ac:dyDescent="0.25">
      <c r="D35" s="72"/>
    </row>
    <row r="36" spans="2:17" ht="15" x14ac:dyDescent="0.25">
      <c r="B36" s="23" t="s">
        <v>46</v>
      </c>
      <c r="C36" s="15"/>
      <c r="D36" s="57"/>
      <c r="E36" s="73">
        <f>SCENARIO_AS_IS!E36</f>
        <v>-368469.96</v>
      </c>
      <c r="F36" s="73">
        <f>-92117.49*4</f>
        <v>-368469.96</v>
      </c>
      <c r="G36" s="73">
        <f t="shared" ref="G36:K36" si="22">-92117.49*4</f>
        <v>-368469.96</v>
      </c>
      <c r="H36" s="73">
        <f t="shared" si="22"/>
        <v>-368469.96</v>
      </c>
      <c r="I36" s="73">
        <f t="shared" si="22"/>
        <v>-368469.96</v>
      </c>
      <c r="J36" s="73">
        <f t="shared" si="22"/>
        <v>-368469.96</v>
      </c>
      <c r="K36" s="73">
        <f t="shared" si="22"/>
        <v>-368469.96</v>
      </c>
      <c r="L36" s="73">
        <f>-92117.49*3-30000</f>
        <v>-306352.47000000003</v>
      </c>
      <c r="M36" s="58"/>
      <c r="N36" s="58"/>
      <c r="O36" s="58"/>
      <c r="P36" s="58"/>
      <c r="Q36" s="58"/>
    </row>
    <row r="37" spans="2:17" x14ac:dyDescent="0.2">
      <c r="B37" s="74"/>
      <c r="C37" s="75"/>
      <c r="D37" s="76"/>
      <c r="E37" s="77"/>
      <c r="F37" s="77"/>
      <c r="G37" s="77">
        <f t="shared" ref="G37:Q37" si="23">F37</f>
        <v>0</v>
      </c>
      <c r="H37" s="77">
        <f t="shared" si="23"/>
        <v>0</v>
      </c>
      <c r="I37" s="77">
        <f t="shared" si="23"/>
        <v>0</v>
      </c>
      <c r="J37" s="77">
        <f t="shared" si="23"/>
        <v>0</v>
      </c>
      <c r="K37" s="77">
        <f t="shared" si="23"/>
        <v>0</v>
      </c>
      <c r="L37" s="77">
        <f t="shared" si="23"/>
        <v>0</v>
      </c>
      <c r="M37" s="77">
        <f t="shared" si="23"/>
        <v>0</v>
      </c>
      <c r="N37" s="77">
        <f t="shared" si="23"/>
        <v>0</v>
      </c>
      <c r="O37" s="77">
        <f t="shared" si="23"/>
        <v>0</v>
      </c>
      <c r="P37" s="77">
        <f t="shared" si="23"/>
        <v>0</v>
      </c>
      <c r="Q37" s="77">
        <f t="shared" si="23"/>
        <v>0</v>
      </c>
    </row>
    <row r="38" spans="2:17" ht="18" x14ac:dyDescent="0.25">
      <c r="D38" s="72"/>
    </row>
    <row r="39" spans="2:17" s="71" customFormat="1" ht="15.75" x14ac:dyDescent="0.25">
      <c r="B39" s="67" t="s">
        <v>47</v>
      </c>
      <c r="C39" s="68"/>
      <c r="D39" s="69"/>
      <c r="E39" s="70">
        <f>E34+E36+E37</f>
        <v>-66709.191692712193</v>
      </c>
      <c r="F39" s="70">
        <f t="shared" ref="F39:Q39" si="24">F34+F36+F37</f>
        <v>-68388.833085072867</v>
      </c>
      <c r="G39" s="70">
        <f t="shared" si="24"/>
        <v>-70079.81722199748</v>
      </c>
      <c r="H39" s="70">
        <f t="shared" si="24"/>
        <v>-71782.496261516993</v>
      </c>
      <c r="I39" s="70">
        <f t="shared" si="24"/>
        <v>-73497.230020799616</v>
      </c>
      <c r="J39" s="70">
        <f t="shared" si="24"/>
        <v>-42724.386144287244</v>
      </c>
      <c r="K39" s="70">
        <f t="shared" si="24"/>
        <v>-44464.340275437105</v>
      </c>
      <c r="L39" s="70">
        <f t="shared" si="24"/>
        <v>15900.013767861179</v>
      </c>
      <c r="M39" s="70">
        <f t="shared" si="24"/>
        <v>320485.77381410991</v>
      </c>
      <c r="N39" s="70">
        <f t="shared" si="24"/>
        <v>318705.08915519272</v>
      </c>
      <c r="O39" s="70">
        <f t="shared" si="24"/>
        <v>316910.02035944705</v>
      </c>
      <c r="P39" s="70">
        <f t="shared" si="24"/>
        <v>315100.14908073691</v>
      </c>
      <c r="Q39" s="70">
        <f t="shared" si="24"/>
        <v>159891.16825368884</v>
      </c>
    </row>
    <row r="40" spans="2:17" ht="18" x14ac:dyDescent="0.25">
      <c r="D40" s="72"/>
    </row>
    <row r="41" spans="2:17" x14ac:dyDescent="0.2">
      <c r="B41" s="23" t="s">
        <v>10</v>
      </c>
      <c r="C41" s="15"/>
      <c r="D41" s="78">
        <v>0</v>
      </c>
      <c r="E41" s="58">
        <f>IF(E39&lt;=0,0,-E39*$D$41)</f>
        <v>0</v>
      </c>
      <c r="F41" s="58">
        <f t="shared" ref="F41:Q41" si="25">IF(F39&lt;=0,0,-F39*$D$41)</f>
        <v>0</v>
      </c>
      <c r="G41" s="58">
        <f t="shared" si="25"/>
        <v>0</v>
      </c>
      <c r="H41" s="58">
        <f t="shared" si="25"/>
        <v>0</v>
      </c>
      <c r="I41" s="58">
        <f t="shared" si="25"/>
        <v>0</v>
      </c>
      <c r="J41" s="58">
        <f t="shared" si="25"/>
        <v>0</v>
      </c>
      <c r="K41" s="58">
        <f t="shared" si="25"/>
        <v>0</v>
      </c>
      <c r="L41" s="58">
        <f t="shared" si="25"/>
        <v>0</v>
      </c>
      <c r="M41" s="58">
        <f t="shared" si="25"/>
        <v>0</v>
      </c>
      <c r="N41" s="58">
        <f t="shared" si="25"/>
        <v>0</v>
      </c>
      <c r="O41" s="58">
        <f t="shared" si="25"/>
        <v>0</v>
      </c>
      <c r="P41" s="58">
        <f t="shared" si="25"/>
        <v>0</v>
      </c>
      <c r="Q41" s="58">
        <f t="shared" si="25"/>
        <v>0</v>
      </c>
    </row>
    <row r="42" spans="2:17" x14ac:dyDescent="0.2">
      <c r="B42" s="74" t="s">
        <v>11</v>
      </c>
      <c r="C42" s="75"/>
      <c r="D42" s="79">
        <v>0</v>
      </c>
      <c r="E42" s="77">
        <f>IF(E39&lt;=0,0,-E39*$D$42)</f>
        <v>0</v>
      </c>
      <c r="F42" s="77">
        <f t="shared" ref="F42:Q42" si="26">IF(F39&lt;=0,0,-F39*$D$42)</f>
        <v>0</v>
      </c>
      <c r="G42" s="77">
        <f t="shared" si="26"/>
        <v>0</v>
      </c>
      <c r="H42" s="77">
        <f t="shared" si="26"/>
        <v>0</v>
      </c>
      <c r="I42" s="77">
        <f t="shared" si="26"/>
        <v>0</v>
      </c>
      <c r="J42" s="77">
        <f t="shared" si="26"/>
        <v>0</v>
      </c>
      <c r="K42" s="77">
        <f t="shared" si="26"/>
        <v>0</v>
      </c>
      <c r="L42" s="77">
        <f t="shared" si="26"/>
        <v>0</v>
      </c>
      <c r="M42" s="77">
        <f t="shared" si="26"/>
        <v>0</v>
      </c>
      <c r="N42" s="77">
        <f t="shared" si="26"/>
        <v>0</v>
      </c>
      <c r="O42" s="77">
        <f t="shared" si="26"/>
        <v>0</v>
      </c>
      <c r="P42" s="77">
        <f t="shared" si="26"/>
        <v>0</v>
      </c>
      <c r="Q42" s="77">
        <f t="shared" si="26"/>
        <v>0</v>
      </c>
    </row>
    <row r="43" spans="2:17" ht="18" x14ac:dyDescent="0.25">
      <c r="D43" s="72"/>
    </row>
    <row r="44" spans="2:17" s="71" customFormat="1" ht="15.75" x14ac:dyDescent="0.25">
      <c r="B44" s="67" t="s">
        <v>48</v>
      </c>
      <c r="C44" s="68"/>
      <c r="D44" s="69"/>
      <c r="E44" s="70">
        <f>E39+E41+E42</f>
        <v>-66709.191692712193</v>
      </c>
      <c r="F44" s="70">
        <f t="shared" ref="F44:Q44" si="27">F39+F41+F42</f>
        <v>-68388.833085072867</v>
      </c>
      <c r="G44" s="70">
        <f t="shared" si="27"/>
        <v>-70079.81722199748</v>
      </c>
      <c r="H44" s="70">
        <f t="shared" si="27"/>
        <v>-71782.496261516993</v>
      </c>
      <c r="I44" s="70">
        <f t="shared" si="27"/>
        <v>-73497.230020799616</v>
      </c>
      <c r="J44" s="70">
        <f t="shared" si="27"/>
        <v>-42724.386144287244</v>
      </c>
      <c r="K44" s="70">
        <f t="shared" si="27"/>
        <v>-44464.340275437105</v>
      </c>
      <c r="L44" s="70">
        <f t="shared" si="27"/>
        <v>15900.013767861179</v>
      </c>
      <c r="M44" s="70">
        <f t="shared" si="27"/>
        <v>320485.77381410991</v>
      </c>
      <c r="N44" s="70">
        <f t="shared" si="27"/>
        <v>318705.08915519272</v>
      </c>
      <c r="O44" s="70">
        <f t="shared" si="27"/>
        <v>316910.02035944705</v>
      </c>
      <c r="P44" s="70">
        <f t="shared" si="27"/>
        <v>315100.14908073691</v>
      </c>
      <c r="Q44" s="70">
        <f t="shared" si="27"/>
        <v>159891.16825368884</v>
      </c>
    </row>
    <row r="45" spans="2:17" ht="18" x14ac:dyDescent="0.25">
      <c r="D45" s="72"/>
    </row>
    <row r="46" spans="2:17" s="71" customFormat="1" ht="15.75" x14ac:dyDescent="0.25">
      <c r="B46" s="67" t="s">
        <v>51</v>
      </c>
      <c r="C46" s="68"/>
      <c r="D46" s="69"/>
      <c r="E46" s="70">
        <f t="shared" ref="E46:Q46" si="28">E44/((1+$C$2)^E4)</f>
        <v>-64766.20552690504</v>
      </c>
      <c r="F46" s="70">
        <f t="shared" si="28"/>
        <v>-64463.034296420839</v>
      </c>
      <c r="G46" s="70">
        <f t="shared" si="28"/>
        <v>-64132.960219704903</v>
      </c>
      <c r="H46" s="70">
        <f t="shared" si="28"/>
        <v>-63777.818195414213</v>
      </c>
      <c r="I46" s="70">
        <f t="shared" si="28"/>
        <v>-63399.35624384525</v>
      </c>
      <c r="J46" s="70">
        <f t="shared" si="28"/>
        <v>-35781.000772313826</v>
      </c>
      <c r="K46" s="70">
        <f t="shared" si="28"/>
        <v>-36153.577635440313</v>
      </c>
      <c r="L46" s="70">
        <f t="shared" si="28"/>
        <v>12551.617694068331</v>
      </c>
      <c r="M46" s="70">
        <f t="shared" si="28"/>
        <v>245625.65952922884</v>
      </c>
      <c r="N46" s="70">
        <f t="shared" si="28"/>
        <v>237146.51748699718</v>
      </c>
      <c r="O46" s="70">
        <f t="shared" si="28"/>
        <v>228942.5414750115</v>
      </c>
      <c r="P46" s="70">
        <f t="shared" si="28"/>
        <v>221004.90481103526</v>
      </c>
      <c r="Q46" s="70">
        <f t="shared" si="28"/>
        <v>108878.10527542408</v>
      </c>
    </row>
    <row r="47" spans="2:17" ht="18" x14ac:dyDescent="0.25">
      <c r="D47" s="72"/>
      <c r="E47" s="9">
        <f>IF(E46&lt;0,1,0)</f>
        <v>1</v>
      </c>
      <c r="F47" s="9">
        <f t="shared" ref="F47:Q47" si="29">IF(F46&lt;0,1,0)</f>
        <v>1</v>
      </c>
      <c r="G47" s="9">
        <f t="shared" si="29"/>
        <v>1</v>
      </c>
      <c r="H47" s="9">
        <f t="shared" si="29"/>
        <v>1</v>
      </c>
      <c r="I47" s="9">
        <f t="shared" si="29"/>
        <v>1</v>
      </c>
      <c r="J47" s="9">
        <f t="shared" si="29"/>
        <v>1</v>
      </c>
      <c r="K47" s="9">
        <f t="shared" si="29"/>
        <v>1</v>
      </c>
      <c r="L47" s="9">
        <f t="shared" si="29"/>
        <v>0</v>
      </c>
      <c r="M47" s="9">
        <f t="shared" si="29"/>
        <v>0</v>
      </c>
      <c r="N47" s="9">
        <f t="shared" si="29"/>
        <v>0</v>
      </c>
      <c r="O47" s="9">
        <f t="shared" si="29"/>
        <v>0</v>
      </c>
      <c r="P47" s="9">
        <f t="shared" si="29"/>
        <v>0</v>
      </c>
      <c r="Q47" s="9">
        <f t="shared" si="29"/>
        <v>0</v>
      </c>
    </row>
    <row r="48" spans="2:17" ht="18" x14ac:dyDescent="0.25">
      <c r="D48" s="72"/>
      <c r="E48" s="11">
        <f>E47*E44</f>
        <v>-66709.191692712193</v>
      </c>
      <c r="F48" s="11">
        <f t="shared" ref="F48:Q48" si="30">F47*F44</f>
        <v>-68388.833085072867</v>
      </c>
      <c r="G48" s="11">
        <f t="shared" si="30"/>
        <v>-70079.81722199748</v>
      </c>
      <c r="H48" s="11">
        <f t="shared" si="30"/>
        <v>-71782.496261516993</v>
      </c>
      <c r="I48" s="11">
        <f t="shared" si="30"/>
        <v>-73497.230020799616</v>
      </c>
      <c r="J48" s="11">
        <f t="shared" si="30"/>
        <v>-42724.386144287244</v>
      </c>
      <c r="K48" s="11">
        <f t="shared" si="30"/>
        <v>-44464.340275437105</v>
      </c>
      <c r="L48" s="11">
        <f t="shared" si="30"/>
        <v>0</v>
      </c>
      <c r="M48" s="11">
        <f t="shared" si="30"/>
        <v>0</v>
      </c>
      <c r="N48" s="11">
        <f t="shared" si="30"/>
        <v>0</v>
      </c>
      <c r="O48" s="11">
        <f t="shared" si="30"/>
        <v>0</v>
      </c>
      <c r="P48" s="11">
        <f t="shared" si="30"/>
        <v>0</v>
      </c>
      <c r="Q48" s="11">
        <f t="shared" si="30"/>
        <v>0</v>
      </c>
    </row>
    <row r="49" spans="2:4" ht="18" x14ac:dyDescent="0.25">
      <c r="D49" s="72"/>
    </row>
    <row r="50" spans="2:4" ht="18" x14ac:dyDescent="0.25">
      <c r="B50" s="148" t="s">
        <v>52</v>
      </c>
      <c r="C50" s="149">
        <f>SUM(E46:Q46)</f>
        <v>661675.39338172087</v>
      </c>
      <c r="D50" s="72"/>
    </row>
    <row r="51" spans="2:4" ht="18" x14ac:dyDescent="0.25">
      <c r="B51" s="148" t="s">
        <v>63</v>
      </c>
      <c r="C51" s="149">
        <f>MIN(E44:Q44)</f>
        <v>-73497.230020799616</v>
      </c>
      <c r="D51" s="72"/>
    </row>
    <row r="52" spans="2:4" ht="18" x14ac:dyDescent="0.25">
      <c r="B52" s="148" t="s">
        <v>64</v>
      </c>
      <c r="C52" s="150">
        <f>SUM(E47:Q47)</f>
        <v>7</v>
      </c>
      <c r="D52" s="72"/>
    </row>
    <row r="53" spans="2:4" ht="18" x14ac:dyDescent="0.25">
      <c r="B53" s="148" t="s">
        <v>65</v>
      </c>
      <c r="C53" s="150">
        <f>SUM(E48:Q48)</f>
        <v>-437646.2947018235</v>
      </c>
      <c r="D53" s="72"/>
    </row>
    <row r="54" spans="2:4" ht="18" x14ac:dyDescent="0.25">
      <c r="D54" s="72"/>
    </row>
    <row r="55" spans="2:4" ht="18" x14ac:dyDescent="0.25">
      <c r="D55" s="72"/>
    </row>
  </sheetData>
  <sheetProtection password="B0F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55"/>
  <sheetViews>
    <sheetView zoomScale="60" zoomScaleNormal="60" workbookViewId="0">
      <selection activeCell="C50" sqref="C50"/>
    </sheetView>
  </sheetViews>
  <sheetFormatPr defaultColWidth="11.42578125" defaultRowHeight="14.25" x14ac:dyDescent="0.2"/>
  <cols>
    <col min="1" max="1" width="11.42578125" style="9"/>
    <col min="2" max="2" width="53.28515625" style="9" bestFit="1" customWidth="1"/>
    <col min="3" max="3" width="24" style="9" bestFit="1" customWidth="1"/>
    <col min="4" max="4" width="26.5703125" style="9" bestFit="1" customWidth="1"/>
    <col min="5" max="5" width="21.85546875" style="9" bestFit="1" customWidth="1"/>
    <col min="6" max="6" width="21.28515625" style="9" bestFit="1" customWidth="1"/>
    <col min="7" max="8" width="21.85546875" style="9" bestFit="1" customWidth="1"/>
    <col min="9" max="11" width="21.28515625" style="9" bestFit="1" customWidth="1"/>
    <col min="12" max="12" width="21.85546875" style="9" bestFit="1" customWidth="1"/>
    <col min="13" max="16" width="19.85546875" style="9" bestFit="1" customWidth="1"/>
    <col min="17" max="17" width="20.5703125" style="9" bestFit="1" customWidth="1"/>
    <col min="18" max="253" width="11.42578125" style="9"/>
    <col min="254" max="254" width="25" style="9" customWidth="1"/>
    <col min="255" max="255" width="29.7109375" style="9" customWidth="1"/>
    <col min="256" max="256" width="30.85546875" style="9" customWidth="1"/>
    <col min="257" max="273" width="20.85546875" style="9" customWidth="1"/>
    <col min="274" max="509" width="11.42578125" style="9"/>
    <col min="510" max="510" width="25" style="9" customWidth="1"/>
    <col min="511" max="511" width="29.7109375" style="9" customWidth="1"/>
    <col min="512" max="512" width="30.85546875" style="9" customWidth="1"/>
    <col min="513" max="529" width="20.85546875" style="9" customWidth="1"/>
    <col min="530" max="765" width="11.42578125" style="9"/>
    <col min="766" max="766" width="25" style="9" customWidth="1"/>
    <col min="767" max="767" width="29.7109375" style="9" customWidth="1"/>
    <col min="768" max="768" width="30.85546875" style="9" customWidth="1"/>
    <col min="769" max="785" width="20.85546875" style="9" customWidth="1"/>
    <col min="786" max="1021" width="11.42578125" style="9"/>
    <col min="1022" max="1022" width="25" style="9" customWidth="1"/>
    <col min="1023" max="1023" width="29.7109375" style="9" customWidth="1"/>
    <col min="1024" max="1024" width="30.85546875" style="9" customWidth="1"/>
    <col min="1025" max="1041" width="20.85546875" style="9" customWidth="1"/>
    <col min="1042" max="1277" width="11.42578125" style="9"/>
    <col min="1278" max="1278" width="25" style="9" customWidth="1"/>
    <col min="1279" max="1279" width="29.7109375" style="9" customWidth="1"/>
    <col min="1280" max="1280" width="30.85546875" style="9" customWidth="1"/>
    <col min="1281" max="1297" width="20.85546875" style="9" customWidth="1"/>
    <col min="1298" max="1533" width="11.42578125" style="9"/>
    <col min="1534" max="1534" width="25" style="9" customWidth="1"/>
    <col min="1535" max="1535" width="29.7109375" style="9" customWidth="1"/>
    <col min="1536" max="1536" width="30.85546875" style="9" customWidth="1"/>
    <col min="1537" max="1553" width="20.85546875" style="9" customWidth="1"/>
    <col min="1554" max="1789" width="11.42578125" style="9"/>
    <col min="1790" max="1790" width="25" style="9" customWidth="1"/>
    <col min="1791" max="1791" width="29.7109375" style="9" customWidth="1"/>
    <col min="1792" max="1792" width="30.85546875" style="9" customWidth="1"/>
    <col min="1793" max="1809" width="20.85546875" style="9" customWidth="1"/>
    <col min="1810" max="2045" width="11.42578125" style="9"/>
    <col min="2046" max="2046" width="25" style="9" customWidth="1"/>
    <col min="2047" max="2047" width="29.7109375" style="9" customWidth="1"/>
    <col min="2048" max="2048" width="30.85546875" style="9" customWidth="1"/>
    <col min="2049" max="2065" width="20.85546875" style="9" customWidth="1"/>
    <col min="2066" max="2301" width="11.42578125" style="9"/>
    <col min="2302" max="2302" width="25" style="9" customWidth="1"/>
    <col min="2303" max="2303" width="29.7109375" style="9" customWidth="1"/>
    <col min="2304" max="2304" width="30.85546875" style="9" customWidth="1"/>
    <col min="2305" max="2321" width="20.85546875" style="9" customWidth="1"/>
    <col min="2322" max="2557" width="11.42578125" style="9"/>
    <col min="2558" max="2558" width="25" style="9" customWidth="1"/>
    <col min="2559" max="2559" width="29.7109375" style="9" customWidth="1"/>
    <col min="2560" max="2560" width="30.85546875" style="9" customWidth="1"/>
    <col min="2561" max="2577" width="20.85546875" style="9" customWidth="1"/>
    <col min="2578" max="2813" width="11.42578125" style="9"/>
    <col min="2814" max="2814" width="25" style="9" customWidth="1"/>
    <col min="2815" max="2815" width="29.7109375" style="9" customWidth="1"/>
    <col min="2816" max="2816" width="30.85546875" style="9" customWidth="1"/>
    <col min="2817" max="2833" width="20.85546875" style="9" customWidth="1"/>
    <col min="2834" max="3069" width="11.42578125" style="9"/>
    <col min="3070" max="3070" width="25" style="9" customWidth="1"/>
    <col min="3071" max="3071" width="29.7109375" style="9" customWidth="1"/>
    <col min="3072" max="3072" width="30.85546875" style="9" customWidth="1"/>
    <col min="3073" max="3089" width="20.85546875" style="9" customWidth="1"/>
    <col min="3090" max="3325" width="11.42578125" style="9"/>
    <col min="3326" max="3326" width="25" style="9" customWidth="1"/>
    <col min="3327" max="3327" width="29.7109375" style="9" customWidth="1"/>
    <col min="3328" max="3328" width="30.85546875" style="9" customWidth="1"/>
    <col min="3329" max="3345" width="20.85546875" style="9" customWidth="1"/>
    <col min="3346" max="3581" width="11.42578125" style="9"/>
    <col min="3582" max="3582" width="25" style="9" customWidth="1"/>
    <col min="3583" max="3583" width="29.7109375" style="9" customWidth="1"/>
    <col min="3584" max="3584" width="30.85546875" style="9" customWidth="1"/>
    <col min="3585" max="3601" width="20.85546875" style="9" customWidth="1"/>
    <col min="3602" max="3837" width="11.42578125" style="9"/>
    <col min="3838" max="3838" width="25" style="9" customWidth="1"/>
    <col min="3839" max="3839" width="29.7109375" style="9" customWidth="1"/>
    <col min="3840" max="3840" width="30.85546875" style="9" customWidth="1"/>
    <col min="3841" max="3857" width="20.85546875" style="9" customWidth="1"/>
    <col min="3858" max="4093" width="11.42578125" style="9"/>
    <col min="4094" max="4094" width="25" style="9" customWidth="1"/>
    <col min="4095" max="4095" width="29.7109375" style="9" customWidth="1"/>
    <col min="4096" max="4096" width="30.85546875" style="9" customWidth="1"/>
    <col min="4097" max="4113" width="20.85546875" style="9" customWidth="1"/>
    <col min="4114" max="4349" width="11.42578125" style="9"/>
    <col min="4350" max="4350" width="25" style="9" customWidth="1"/>
    <col min="4351" max="4351" width="29.7109375" style="9" customWidth="1"/>
    <col min="4352" max="4352" width="30.85546875" style="9" customWidth="1"/>
    <col min="4353" max="4369" width="20.85546875" style="9" customWidth="1"/>
    <col min="4370" max="4605" width="11.42578125" style="9"/>
    <col min="4606" max="4606" width="25" style="9" customWidth="1"/>
    <col min="4607" max="4607" width="29.7109375" style="9" customWidth="1"/>
    <col min="4608" max="4608" width="30.85546875" style="9" customWidth="1"/>
    <col min="4609" max="4625" width="20.85546875" style="9" customWidth="1"/>
    <col min="4626" max="4861" width="11.42578125" style="9"/>
    <col min="4862" max="4862" width="25" style="9" customWidth="1"/>
    <col min="4863" max="4863" width="29.7109375" style="9" customWidth="1"/>
    <col min="4864" max="4864" width="30.85546875" style="9" customWidth="1"/>
    <col min="4865" max="4881" width="20.85546875" style="9" customWidth="1"/>
    <col min="4882" max="5117" width="11.42578125" style="9"/>
    <col min="5118" max="5118" width="25" style="9" customWidth="1"/>
    <col min="5119" max="5119" width="29.7109375" style="9" customWidth="1"/>
    <col min="5120" max="5120" width="30.85546875" style="9" customWidth="1"/>
    <col min="5121" max="5137" width="20.85546875" style="9" customWidth="1"/>
    <col min="5138" max="5373" width="11.42578125" style="9"/>
    <col min="5374" max="5374" width="25" style="9" customWidth="1"/>
    <col min="5375" max="5375" width="29.7109375" style="9" customWidth="1"/>
    <col min="5376" max="5376" width="30.85546875" style="9" customWidth="1"/>
    <col min="5377" max="5393" width="20.85546875" style="9" customWidth="1"/>
    <col min="5394" max="5629" width="11.42578125" style="9"/>
    <col min="5630" max="5630" width="25" style="9" customWidth="1"/>
    <col min="5631" max="5631" width="29.7109375" style="9" customWidth="1"/>
    <col min="5632" max="5632" width="30.85546875" style="9" customWidth="1"/>
    <col min="5633" max="5649" width="20.85546875" style="9" customWidth="1"/>
    <col min="5650" max="5885" width="11.42578125" style="9"/>
    <col min="5886" max="5886" width="25" style="9" customWidth="1"/>
    <col min="5887" max="5887" width="29.7109375" style="9" customWidth="1"/>
    <col min="5888" max="5888" width="30.85546875" style="9" customWidth="1"/>
    <col min="5889" max="5905" width="20.85546875" style="9" customWidth="1"/>
    <col min="5906" max="6141" width="11.42578125" style="9"/>
    <col min="6142" max="6142" width="25" style="9" customWidth="1"/>
    <col min="6143" max="6143" width="29.7109375" style="9" customWidth="1"/>
    <col min="6144" max="6144" width="30.85546875" style="9" customWidth="1"/>
    <col min="6145" max="6161" width="20.85546875" style="9" customWidth="1"/>
    <col min="6162" max="6397" width="11.42578125" style="9"/>
    <col min="6398" max="6398" width="25" style="9" customWidth="1"/>
    <col min="6399" max="6399" width="29.7109375" style="9" customWidth="1"/>
    <col min="6400" max="6400" width="30.85546875" style="9" customWidth="1"/>
    <col min="6401" max="6417" width="20.85546875" style="9" customWidth="1"/>
    <col min="6418" max="6653" width="11.42578125" style="9"/>
    <col min="6654" max="6654" width="25" style="9" customWidth="1"/>
    <col min="6655" max="6655" width="29.7109375" style="9" customWidth="1"/>
    <col min="6656" max="6656" width="30.85546875" style="9" customWidth="1"/>
    <col min="6657" max="6673" width="20.85546875" style="9" customWidth="1"/>
    <col min="6674" max="6909" width="11.42578125" style="9"/>
    <col min="6910" max="6910" width="25" style="9" customWidth="1"/>
    <col min="6911" max="6911" width="29.7109375" style="9" customWidth="1"/>
    <col min="6912" max="6912" width="30.85546875" style="9" customWidth="1"/>
    <col min="6913" max="6929" width="20.85546875" style="9" customWidth="1"/>
    <col min="6930" max="7165" width="11.42578125" style="9"/>
    <col min="7166" max="7166" width="25" style="9" customWidth="1"/>
    <col min="7167" max="7167" width="29.7109375" style="9" customWidth="1"/>
    <col min="7168" max="7168" width="30.85546875" style="9" customWidth="1"/>
    <col min="7169" max="7185" width="20.85546875" style="9" customWidth="1"/>
    <col min="7186" max="7421" width="11.42578125" style="9"/>
    <col min="7422" max="7422" width="25" style="9" customWidth="1"/>
    <col min="7423" max="7423" width="29.7109375" style="9" customWidth="1"/>
    <col min="7424" max="7424" width="30.85546875" style="9" customWidth="1"/>
    <col min="7425" max="7441" width="20.85546875" style="9" customWidth="1"/>
    <col min="7442" max="7677" width="11.42578125" style="9"/>
    <col min="7678" max="7678" width="25" style="9" customWidth="1"/>
    <col min="7679" max="7679" width="29.7109375" style="9" customWidth="1"/>
    <col min="7680" max="7680" width="30.85546875" style="9" customWidth="1"/>
    <col min="7681" max="7697" width="20.85546875" style="9" customWidth="1"/>
    <col min="7698" max="7933" width="11.42578125" style="9"/>
    <col min="7934" max="7934" width="25" style="9" customWidth="1"/>
    <col min="7935" max="7935" width="29.7109375" style="9" customWidth="1"/>
    <col min="7936" max="7936" width="30.85546875" style="9" customWidth="1"/>
    <col min="7937" max="7953" width="20.85546875" style="9" customWidth="1"/>
    <col min="7954" max="8189" width="11.42578125" style="9"/>
    <col min="8190" max="8190" width="25" style="9" customWidth="1"/>
    <col min="8191" max="8191" width="29.7109375" style="9" customWidth="1"/>
    <col min="8192" max="8192" width="30.85546875" style="9" customWidth="1"/>
    <col min="8193" max="8209" width="20.85546875" style="9" customWidth="1"/>
    <col min="8210" max="8445" width="11.42578125" style="9"/>
    <col min="8446" max="8446" width="25" style="9" customWidth="1"/>
    <col min="8447" max="8447" width="29.7109375" style="9" customWidth="1"/>
    <col min="8448" max="8448" width="30.85546875" style="9" customWidth="1"/>
    <col min="8449" max="8465" width="20.85546875" style="9" customWidth="1"/>
    <col min="8466" max="8701" width="11.42578125" style="9"/>
    <col min="8702" max="8702" width="25" style="9" customWidth="1"/>
    <col min="8703" max="8703" width="29.7109375" style="9" customWidth="1"/>
    <col min="8704" max="8704" width="30.85546875" style="9" customWidth="1"/>
    <col min="8705" max="8721" width="20.85546875" style="9" customWidth="1"/>
    <col min="8722" max="8957" width="11.42578125" style="9"/>
    <col min="8958" max="8958" width="25" style="9" customWidth="1"/>
    <col min="8959" max="8959" width="29.7109375" style="9" customWidth="1"/>
    <col min="8960" max="8960" width="30.85546875" style="9" customWidth="1"/>
    <col min="8961" max="8977" width="20.85546875" style="9" customWidth="1"/>
    <col min="8978" max="9213" width="11.42578125" style="9"/>
    <col min="9214" max="9214" width="25" style="9" customWidth="1"/>
    <col min="9215" max="9215" width="29.7109375" style="9" customWidth="1"/>
    <col min="9216" max="9216" width="30.85546875" style="9" customWidth="1"/>
    <col min="9217" max="9233" width="20.85546875" style="9" customWidth="1"/>
    <col min="9234" max="9469" width="11.42578125" style="9"/>
    <col min="9470" max="9470" width="25" style="9" customWidth="1"/>
    <col min="9471" max="9471" width="29.7109375" style="9" customWidth="1"/>
    <col min="9472" max="9472" width="30.85546875" style="9" customWidth="1"/>
    <col min="9473" max="9489" width="20.85546875" style="9" customWidth="1"/>
    <col min="9490" max="9725" width="11.42578125" style="9"/>
    <col min="9726" max="9726" width="25" style="9" customWidth="1"/>
    <col min="9727" max="9727" width="29.7109375" style="9" customWidth="1"/>
    <col min="9728" max="9728" width="30.85546875" style="9" customWidth="1"/>
    <col min="9729" max="9745" width="20.85546875" style="9" customWidth="1"/>
    <col min="9746" max="9981" width="11.42578125" style="9"/>
    <col min="9982" max="9982" width="25" style="9" customWidth="1"/>
    <col min="9983" max="9983" width="29.7109375" style="9" customWidth="1"/>
    <col min="9984" max="9984" width="30.85546875" style="9" customWidth="1"/>
    <col min="9985" max="10001" width="20.85546875" style="9" customWidth="1"/>
    <col min="10002" max="10237" width="11.42578125" style="9"/>
    <col min="10238" max="10238" width="25" style="9" customWidth="1"/>
    <col min="10239" max="10239" width="29.7109375" style="9" customWidth="1"/>
    <col min="10240" max="10240" width="30.85546875" style="9" customWidth="1"/>
    <col min="10241" max="10257" width="20.85546875" style="9" customWidth="1"/>
    <col min="10258" max="10493" width="11.42578125" style="9"/>
    <col min="10494" max="10494" width="25" style="9" customWidth="1"/>
    <col min="10495" max="10495" width="29.7109375" style="9" customWidth="1"/>
    <col min="10496" max="10496" width="30.85546875" style="9" customWidth="1"/>
    <col min="10497" max="10513" width="20.85546875" style="9" customWidth="1"/>
    <col min="10514" max="10749" width="11.42578125" style="9"/>
    <col min="10750" max="10750" width="25" style="9" customWidth="1"/>
    <col min="10751" max="10751" width="29.7109375" style="9" customWidth="1"/>
    <col min="10752" max="10752" width="30.85546875" style="9" customWidth="1"/>
    <col min="10753" max="10769" width="20.85546875" style="9" customWidth="1"/>
    <col min="10770" max="11005" width="11.42578125" style="9"/>
    <col min="11006" max="11006" width="25" style="9" customWidth="1"/>
    <col min="11007" max="11007" width="29.7109375" style="9" customWidth="1"/>
    <col min="11008" max="11008" width="30.85546875" style="9" customWidth="1"/>
    <col min="11009" max="11025" width="20.85546875" style="9" customWidth="1"/>
    <col min="11026" max="11261" width="11.42578125" style="9"/>
    <col min="11262" max="11262" width="25" style="9" customWidth="1"/>
    <col min="11263" max="11263" width="29.7109375" style="9" customWidth="1"/>
    <col min="11264" max="11264" width="30.85546875" style="9" customWidth="1"/>
    <col min="11265" max="11281" width="20.85546875" style="9" customWidth="1"/>
    <col min="11282" max="11517" width="11.42578125" style="9"/>
    <col min="11518" max="11518" width="25" style="9" customWidth="1"/>
    <col min="11519" max="11519" width="29.7109375" style="9" customWidth="1"/>
    <col min="11520" max="11520" width="30.85546875" style="9" customWidth="1"/>
    <col min="11521" max="11537" width="20.85546875" style="9" customWidth="1"/>
    <col min="11538" max="11773" width="11.42578125" style="9"/>
    <col min="11774" max="11774" width="25" style="9" customWidth="1"/>
    <col min="11775" max="11775" width="29.7109375" style="9" customWidth="1"/>
    <col min="11776" max="11776" width="30.85546875" style="9" customWidth="1"/>
    <col min="11777" max="11793" width="20.85546875" style="9" customWidth="1"/>
    <col min="11794" max="12029" width="11.42578125" style="9"/>
    <col min="12030" max="12030" width="25" style="9" customWidth="1"/>
    <col min="12031" max="12031" width="29.7109375" style="9" customWidth="1"/>
    <col min="12032" max="12032" width="30.85546875" style="9" customWidth="1"/>
    <col min="12033" max="12049" width="20.85546875" style="9" customWidth="1"/>
    <col min="12050" max="12285" width="11.42578125" style="9"/>
    <col min="12286" max="12286" width="25" style="9" customWidth="1"/>
    <col min="12287" max="12287" width="29.7109375" style="9" customWidth="1"/>
    <col min="12288" max="12288" width="30.85546875" style="9" customWidth="1"/>
    <col min="12289" max="12305" width="20.85546875" style="9" customWidth="1"/>
    <col min="12306" max="12541" width="11.42578125" style="9"/>
    <col min="12542" max="12542" width="25" style="9" customWidth="1"/>
    <col min="12543" max="12543" width="29.7109375" style="9" customWidth="1"/>
    <col min="12544" max="12544" width="30.85546875" style="9" customWidth="1"/>
    <col min="12545" max="12561" width="20.85546875" style="9" customWidth="1"/>
    <col min="12562" max="12797" width="11.42578125" style="9"/>
    <col min="12798" max="12798" width="25" style="9" customWidth="1"/>
    <col min="12799" max="12799" width="29.7109375" style="9" customWidth="1"/>
    <col min="12800" max="12800" width="30.85546875" style="9" customWidth="1"/>
    <col min="12801" max="12817" width="20.85546875" style="9" customWidth="1"/>
    <col min="12818" max="13053" width="11.42578125" style="9"/>
    <col min="13054" max="13054" width="25" style="9" customWidth="1"/>
    <col min="13055" max="13055" width="29.7109375" style="9" customWidth="1"/>
    <col min="13056" max="13056" width="30.85546875" style="9" customWidth="1"/>
    <col min="13057" max="13073" width="20.85546875" style="9" customWidth="1"/>
    <col min="13074" max="13309" width="11.42578125" style="9"/>
    <col min="13310" max="13310" width="25" style="9" customWidth="1"/>
    <col min="13311" max="13311" width="29.7109375" style="9" customWidth="1"/>
    <col min="13312" max="13312" width="30.85546875" style="9" customWidth="1"/>
    <col min="13313" max="13329" width="20.85546875" style="9" customWidth="1"/>
    <col min="13330" max="13565" width="11.42578125" style="9"/>
    <col min="13566" max="13566" width="25" style="9" customWidth="1"/>
    <col min="13567" max="13567" width="29.7109375" style="9" customWidth="1"/>
    <col min="13568" max="13568" width="30.85546875" style="9" customWidth="1"/>
    <col min="13569" max="13585" width="20.85546875" style="9" customWidth="1"/>
    <col min="13586" max="13821" width="11.42578125" style="9"/>
    <col min="13822" max="13822" width="25" style="9" customWidth="1"/>
    <col min="13823" max="13823" width="29.7109375" style="9" customWidth="1"/>
    <col min="13824" max="13824" width="30.85546875" style="9" customWidth="1"/>
    <col min="13825" max="13841" width="20.85546875" style="9" customWidth="1"/>
    <col min="13842" max="14077" width="11.42578125" style="9"/>
    <col min="14078" max="14078" width="25" style="9" customWidth="1"/>
    <col min="14079" max="14079" width="29.7109375" style="9" customWidth="1"/>
    <col min="14080" max="14080" width="30.85546875" style="9" customWidth="1"/>
    <col min="14081" max="14097" width="20.85546875" style="9" customWidth="1"/>
    <col min="14098" max="14333" width="11.42578125" style="9"/>
    <col min="14334" max="14334" width="25" style="9" customWidth="1"/>
    <col min="14335" max="14335" width="29.7109375" style="9" customWidth="1"/>
    <col min="14336" max="14336" width="30.85546875" style="9" customWidth="1"/>
    <col min="14337" max="14353" width="20.85546875" style="9" customWidth="1"/>
    <col min="14354" max="14589" width="11.42578125" style="9"/>
    <col min="14590" max="14590" width="25" style="9" customWidth="1"/>
    <col min="14591" max="14591" width="29.7109375" style="9" customWidth="1"/>
    <col min="14592" max="14592" width="30.85546875" style="9" customWidth="1"/>
    <col min="14593" max="14609" width="20.85546875" style="9" customWidth="1"/>
    <col min="14610" max="14845" width="11.42578125" style="9"/>
    <col min="14846" max="14846" width="25" style="9" customWidth="1"/>
    <col min="14847" max="14847" width="29.7109375" style="9" customWidth="1"/>
    <col min="14848" max="14848" width="30.85546875" style="9" customWidth="1"/>
    <col min="14849" max="14865" width="20.85546875" style="9" customWidth="1"/>
    <col min="14866" max="15101" width="11.42578125" style="9"/>
    <col min="15102" max="15102" width="25" style="9" customWidth="1"/>
    <col min="15103" max="15103" width="29.7109375" style="9" customWidth="1"/>
    <col min="15104" max="15104" width="30.85546875" style="9" customWidth="1"/>
    <col min="15105" max="15121" width="20.85546875" style="9" customWidth="1"/>
    <col min="15122" max="15357" width="11.42578125" style="9"/>
    <col min="15358" max="15358" width="25" style="9" customWidth="1"/>
    <col min="15359" max="15359" width="29.7109375" style="9" customWidth="1"/>
    <col min="15360" max="15360" width="30.85546875" style="9" customWidth="1"/>
    <col min="15361" max="15377" width="20.85546875" style="9" customWidth="1"/>
    <col min="15378" max="15613" width="11.42578125" style="9"/>
    <col min="15614" max="15614" width="25" style="9" customWidth="1"/>
    <col min="15615" max="15615" width="29.7109375" style="9" customWidth="1"/>
    <col min="15616" max="15616" width="30.85546875" style="9" customWidth="1"/>
    <col min="15617" max="15633" width="20.85546875" style="9" customWidth="1"/>
    <col min="15634" max="15869" width="11.42578125" style="9"/>
    <col min="15870" max="15870" width="25" style="9" customWidth="1"/>
    <col min="15871" max="15871" width="29.7109375" style="9" customWidth="1"/>
    <col min="15872" max="15872" width="30.85546875" style="9" customWidth="1"/>
    <col min="15873" max="15889" width="20.85546875" style="9" customWidth="1"/>
    <col min="15890" max="16125" width="11.42578125" style="9"/>
    <col min="16126" max="16126" width="25" style="9" customWidth="1"/>
    <col min="16127" max="16127" width="29.7109375" style="9" customWidth="1"/>
    <col min="16128" max="16128" width="30.85546875" style="9" customWidth="1"/>
    <col min="16129" max="16145" width="20.85546875" style="9" customWidth="1"/>
    <col min="16146" max="16384" width="11.42578125" style="9"/>
  </cols>
  <sheetData>
    <row r="1" spans="2:17" ht="18" x14ac:dyDescent="0.2">
      <c r="B1" s="7" t="s">
        <v>49</v>
      </c>
      <c r="C1" s="8" t="s">
        <v>21</v>
      </c>
      <c r="E1" s="151">
        <f>E14*E10</f>
        <v>96545.747231999994</v>
      </c>
    </row>
    <row r="2" spans="2:17" ht="18" x14ac:dyDescent="0.2">
      <c r="B2" s="7" t="s">
        <v>50</v>
      </c>
      <c r="C2" s="124">
        <f>SCENARIO_AS_IS!C2</f>
        <v>0.03</v>
      </c>
      <c r="E2" s="152">
        <f>E15*E10</f>
        <v>59932.46160000001</v>
      </c>
    </row>
    <row r="4" spans="2:17" s="14" customFormat="1" ht="15" thickBot="1" x14ac:dyDescent="0.25">
      <c r="E4" s="14">
        <v>1</v>
      </c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14">
        <v>7</v>
      </c>
      <c r="L4" s="14">
        <v>8</v>
      </c>
      <c r="M4" s="14">
        <v>9</v>
      </c>
      <c r="N4" s="14">
        <v>10</v>
      </c>
      <c r="O4" s="14">
        <v>11</v>
      </c>
      <c r="P4" s="14">
        <v>12</v>
      </c>
      <c r="Q4" s="14">
        <v>13</v>
      </c>
    </row>
    <row r="5" spans="2:17" ht="15" x14ac:dyDescent="0.25">
      <c r="C5" s="23" t="s">
        <v>0</v>
      </c>
      <c r="D5" s="125" t="s">
        <v>1</v>
      </c>
      <c r="E5" s="18">
        <v>2019</v>
      </c>
      <c r="F5" s="17">
        <f t="shared" ref="F5:Q5" si="0">E5+1</f>
        <v>2020</v>
      </c>
      <c r="G5" s="17">
        <f t="shared" si="0"/>
        <v>2021</v>
      </c>
      <c r="H5" s="18">
        <f t="shared" si="0"/>
        <v>2022</v>
      </c>
      <c r="I5" s="18">
        <f t="shared" si="0"/>
        <v>2023</v>
      </c>
      <c r="J5" s="18">
        <f t="shared" si="0"/>
        <v>2024</v>
      </c>
      <c r="K5" s="18">
        <f t="shared" si="0"/>
        <v>2025</v>
      </c>
      <c r="L5" s="18">
        <f t="shared" si="0"/>
        <v>2026</v>
      </c>
      <c r="M5" s="18">
        <f t="shared" si="0"/>
        <v>2027</v>
      </c>
      <c r="N5" s="18">
        <f t="shared" si="0"/>
        <v>2028</v>
      </c>
      <c r="O5" s="18">
        <f t="shared" si="0"/>
        <v>2029</v>
      </c>
      <c r="P5" s="18">
        <f t="shared" si="0"/>
        <v>2030</v>
      </c>
      <c r="Q5" s="18">
        <f t="shared" si="0"/>
        <v>2031</v>
      </c>
    </row>
    <row r="6" spans="2:17" ht="15" x14ac:dyDescent="0.25">
      <c r="B6" s="19" t="s">
        <v>22</v>
      </c>
      <c r="C6" s="126"/>
      <c r="D6" s="127"/>
      <c r="E6" s="128"/>
      <c r="F6" s="19"/>
      <c r="G6" s="22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2:17" x14ac:dyDescent="0.2">
      <c r="B7" s="23" t="s">
        <v>23</v>
      </c>
      <c r="C7" s="23" t="s">
        <v>2</v>
      </c>
      <c r="D7" s="129"/>
      <c r="E7" s="130">
        <f>SCENARIO_AS_IS!E7</f>
        <v>993.6</v>
      </c>
      <c r="F7" s="26">
        <f>SCENARIO_AS_IS!F7</f>
        <v>993.6</v>
      </c>
      <c r="G7" s="26">
        <f>SCENARIO_AS_IS!G7</f>
        <v>993.6</v>
      </c>
      <c r="H7" s="27">
        <f>SCENARIO_AS_IS!H7</f>
        <v>993.6</v>
      </c>
      <c r="I7" s="28">
        <f>SCENARIO_AS_IS!I7</f>
        <v>993.6</v>
      </c>
      <c r="J7" s="28">
        <f>SCENARIO_AS_IS!J7</f>
        <v>993.6</v>
      </c>
      <c r="K7" s="28">
        <f>SCENARIO_AS_IS!K7</f>
        <v>993.6</v>
      </c>
      <c r="L7" s="28">
        <f>SCENARIO_AS_IS!L7</f>
        <v>993.6</v>
      </c>
      <c r="M7" s="28">
        <f>SCENARIO_AS_IS!M7</f>
        <v>993.6</v>
      </c>
      <c r="N7" s="28">
        <f>SCENARIO_AS_IS!N7</f>
        <v>993.6</v>
      </c>
      <c r="O7" s="28">
        <f>SCENARIO_AS_IS!O7</f>
        <v>993.6</v>
      </c>
      <c r="P7" s="28">
        <f>SCENARIO_AS_IS!P7</f>
        <v>993.6</v>
      </c>
      <c r="Q7" s="28">
        <f>SCENARIO_AS_IS!Q7</f>
        <v>993.6</v>
      </c>
    </row>
    <row r="8" spans="2:17" x14ac:dyDescent="0.2">
      <c r="B8" s="29" t="s">
        <v>24</v>
      </c>
      <c r="C8" s="29" t="s">
        <v>3</v>
      </c>
      <c r="D8" s="129"/>
      <c r="E8" s="131">
        <f>SCENARIO_AS_IS!E8</f>
        <v>1100</v>
      </c>
      <c r="F8" s="33">
        <f>SCENARIO_AS_IS!F8</f>
        <v>1100</v>
      </c>
      <c r="G8" s="33">
        <f>SCENARIO_AS_IS!G8</f>
        <v>1100</v>
      </c>
      <c r="H8" s="34">
        <f>SCENARIO_AS_IS!H8</f>
        <v>1100</v>
      </c>
      <c r="I8" s="35">
        <f>SCENARIO_AS_IS!I8</f>
        <v>1100</v>
      </c>
      <c r="J8" s="35">
        <f>SCENARIO_AS_IS!J8</f>
        <v>1100</v>
      </c>
      <c r="K8" s="35">
        <f>SCENARIO_AS_IS!K8</f>
        <v>1100</v>
      </c>
      <c r="L8" s="35">
        <f>SCENARIO_AS_IS!L8</f>
        <v>1100</v>
      </c>
      <c r="M8" s="35">
        <f>SCENARIO_AS_IS!M8</f>
        <v>1100</v>
      </c>
      <c r="N8" s="35">
        <f>SCENARIO_AS_IS!N8</f>
        <v>1100</v>
      </c>
      <c r="O8" s="35">
        <f>SCENARIO_AS_IS!O8</f>
        <v>1100</v>
      </c>
      <c r="P8" s="35">
        <f>SCENARIO_AS_IS!P8</f>
        <v>1100</v>
      </c>
      <c r="Q8" s="35">
        <f>SCENARIO_AS_IS!Q8</f>
        <v>1100</v>
      </c>
    </row>
    <row r="9" spans="2:17" s="40" customFormat="1" x14ac:dyDescent="0.2">
      <c r="B9" s="36" t="s">
        <v>26</v>
      </c>
      <c r="C9" s="36" t="s">
        <v>5</v>
      </c>
      <c r="D9" s="132">
        <f>SCENARIO_AS_IS!D9</f>
        <v>-3.0000000000000001E-3</v>
      </c>
      <c r="E9" s="133">
        <f>SCENARIO_AS_IS!E9</f>
        <v>-3269.0433600000006</v>
      </c>
      <c r="F9" s="39">
        <f>SCENARIO_AS_IS!F9</f>
        <v>-3259.2362299200004</v>
      </c>
      <c r="G9" s="39">
        <f>SCENARIO_AS_IS!G9</f>
        <v>-3249.45852123024</v>
      </c>
      <c r="H9" s="39">
        <f>SCENARIO_AS_IS!H9</f>
        <v>-3239.7101456665496</v>
      </c>
      <c r="I9" s="39">
        <f>SCENARIO_AS_IS!I9</f>
        <v>-3229.9910152295497</v>
      </c>
      <c r="J9" s="39">
        <f>SCENARIO_AS_IS!J9</f>
        <v>-3220.3010421838612</v>
      </c>
      <c r="K9" s="39">
        <f>SCENARIO_AS_IS!K9</f>
        <v>-3210.6401390573096</v>
      </c>
      <c r="L9" s="39">
        <f>SCENARIO_AS_IS!L9</f>
        <v>-3201.0082186401373</v>
      </c>
      <c r="M9" s="39">
        <f>SCENARIO_AS_IS!M9</f>
        <v>-3191.4051939842175</v>
      </c>
      <c r="N9" s="39">
        <f>SCENARIO_AS_IS!N9</f>
        <v>-3181.8309784022649</v>
      </c>
      <c r="O9" s="39">
        <f>SCENARIO_AS_IS!O9</f>
        <v>-3172.2854854670582</v>
      </c>
      <c r="P9" s="39">
        <f>SCENARIO_AS_IS!P9</f>
        <v>-3162.7686290106567</v>
      </c>
      <c r="Q9" s="39">
        <f>SCENARIO_AS_IS!Q9</f>
        <v>-1576.6401615618122</v>
      </c>
    </row>
    <row r="10" spans="2:17" x14ac:dyDescent="0.2">
      <c r="B10" s="29" t="s">
        <v>25</v>
      </c>
      <c r="C10" s="29" t="s">
        <v>4</v>
      </c>
      <c r="D10" s="129">
        <f>SCENARIO_AS_IS!D10</f>
        <v>1092960</v>
      </c>
      <c r="E10" s="34">
        <f>SCENARIO_AS_IS!E10</f>
        <v>1089681.1200000001</v>
      </c>
      <c r="F10" s="35">
        <f>SCENARIO_AS_IS!F10</f>
        <v>1086412.0766400001</v>
      </c>
      <c r="G10" s="35">
        <f>SCENARIO_AS_IS!G10</f>
        <v>1083152.84041008</v>
      </c>
      <c r="H10" s="35">
        <f>SCENARIO_AS_IS!H10</f>
        <v>1079903.3818888499</v>
      </c>
      <c r="I10" s="35">
        <f>SCENARIO_AS_IS!I10</f>
        <v>1076663.6717431832</v>
      </c>
      <c r="J10" s="35">
        <f>SCENARIO_AS_IS!J10</f>
        <v>1073433.6807279538</v>
      </c>
      <c r="K10" s="35">
        <f>SCENARIO_AS_IS!K10</f>
        <v>1070213.3796857698</v>
      </c>
      <c r="L10" s="35">
        <f>SCENARIO_AS_IS!L10</f>
        <v>1067002.7395467125</v>
      </c>
      <c r="M10" s="35">
        <f>SCENARIO_AS_IS!M10</f>
        <v>1063801.7313280725</v>
      </c>
      <c r="N10" s="35">
        <f>SCENARIO_AS_IS!N10</f>
        <v>1060610.3261340882</v>
      </c>
      <c r="O10" s="35">
        <f>SCENARIO_AS_IS!O10</f>
        <v>1057428.495155686</v>
      </c>
      <c r="P10" s="35">
        <f>SCENARIO_AS_IS!P10</f>
        <v>1054256.2096702189</v>
      </c>
      <c r="Q10" s="35">
        <f>SCENARIO_AS_IS!Q10</f>
        <v>525546.72052060405</v>
      </c>
    </row>
    <row r="11" spans="2:17" x14ac:dyDescent="0.2">
      <c r="B11" s="29" t="s">
        <v>27</v>
      </c>
      <c r="C11" s="29" t="s">
        <v>6</v>
      </c>
      <c r="D11" s="129">
        <f>SCENARIO_AS_IS!D11</f>
        <v>0</v>
      </c>
      <c r="E11" s="134">
        <f>SCENARIO_AS_IS!E11</f>
        <v>0.99700000000000011</v>
      </c>
      <c r="F11" s="43">
        <f>SCENARIO_AS_IS!F11</f>
        <v>0.99400900000000014</v>
      </c>
      <c r="G11" s="43">
        <f>SCENARIO_AS_IS!G11</f>
        <v>0.99102697300000009</v>
      </c>
      <c r="H11" s="43">
        <f>SCENARIO_AS_IS!H11</f>
        <v>0.98805389208100014</v>
      </c>
      <c r="I11" s="43">
        <f>SCENARIO_AS_IS!I11</f>
        <v>0.985089730404757</v>
      </c>
      <c r="J11" s="43">
        <f>SCENARIO_AS_IS!J11</f>
        <v>0.98213446121354286</v>
      </c>
      <c r="K11" s="43">
        <f>SCENARIO_AS_IS!K11</f>
        <v>0.97918805782990204</v>
      </c>
      <c r="L11" s="43">
        <f>SCENARIO_AS_IS!L11</f>
        <v>0.97625049365641237</v>
      </c>
      <c r="M11" s="43">
        <f>SCENARIO_AS_IS!M11</f>
        <v>0.97332174217544332</v>
      </c>
      <c r="N11" s="43">
        <f>SCENARIO_AS_IS!N11</f>
        <v>0.97040177694891694</v>
      </c>
      <c r="O11" s="43">
        <f>SCENARIO_AS_IS!O11</f>
        <v>0.96749057161807028</v>
      </c>
      <c r="P11" s="43">
        <f>SCENARIO_AS_IS!P11</f>
        <v>0.96458809990321592</v>
      </c>
      <c r="Q11" s="43">
        <f>SCENARIO_AS_IS!Q11</f>
        <v>0.48084716780175307</v>
      </c>
    </row>
    <row r="12" spans="2:17" ht="15.75" thickBot="1" x14ac:dyDescent="0.3">
      <c r="B12" s="44" t="s">
        <v>28</v>
      </c>
      <c r="C12" s="44" t="s">
        <v>7</v>
      </c>
      <c r="D12" s="135"/>
      <c r="E12" s="136">
        <f>SCENARIO_AS_IS!I14</f>
        <v>0.443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2:17" ht="15.75" thickBot="1" x14ac:dyDescent="0.3">
      <c r="B13" s="137" t="s">
        <v>62</v>
      </c>
      <c r="C13" s="138" t="s">
        <v>5</v>
      </c>
      <c r="D13" s="138"/>
      <c r="E13" s="139">
        <v>-0.8</v>
      </c>
      <c r="F13" s="14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7" ht="15" x14ac:dyDescent="0.25">
      <c r="B14" s="29" t="s">
        <v>30</v>
      </c>
      <c r="C14" s="29" t="s">
        <v>7</v>
      </c>
      <c r="D14" s="141"/>
      <c r="E14" s="142">
        <f>$E$12*(1+$E$13)</f>
        <v>8.8599999999999984E-2</v>
      </c>
      <c r="F14" s="52">
        <f>E14</f>
        <v>8.8599999999999984E-2</v>
      </c>
      <c r="G14" s="52">
        <f t="shared" ref="G14:Q15" si="1">F14</f>
        <v>8.8599999999999984E-2</v>
      </c>
      <c r="H14" s="52">
        <f t="shared" si="1"/>
        <v>8.8599999999999984E-2</v>
      </c>
      <c r="I14" s="52">
        <f t="shared" si="1"/>
        <v>8.8599999999999984E-2</v>
      </c>
      <c r="J14" s="52">
        <f t="shared" si="1"/>
        <v>8.8599999999999984E-2</v>
      </c>
      <c r="K14" s="52">
        <f t="shared" si="1"/>
        <v>8.8599999999999984E-2</v>
      </c>
      <c r="L14" s="52">
        <f t="shared" si="1"/>
        <v>8.8599999999999984E-2</v>
      </c>
      <c r="M14" s="52">
        <f t="shared" si="1"/>
        <v>8.8599999999999984E-2</v>
      </c>
      <c r="N14" s="52">
        <f t="shared" si="1"/>
        <v>8.8599999999999984E-2</v>
      </c>
      <c r="O14" s="52">
        <f t="shared" si="1"/>
        <v>8.8599999999999984E-2</v>
      </c>
      <c r="P14" s="52">
        <f t="shared" si="1"/>
        <v>8.8599999999999984E-2</v>
      </c>
      <c r="Q14" s="52">
        <f t="shared" si="1"/>
        <v>8.8599999999999984E-2</v>
      </c>
    </row>
    <row r="15" spans="2:17" ht="15.75" thickBot="1" x14ac:dyDescent="0.3">
      <c r="B15" s="29" t="s">
        <v>31</v>
      </c>
      <c r="C15" s="29"/>
      <c r="D15" s="143"/>
      <c r="E15" s="144">
        <f>SCENARIO_AS_IS!E15</f>
        <v>5.5E-2</v>
      </c>
      <c r="F15" s="54">
        <f>E15</f>
        <v>5.5E-2</v>
      </c>
      <c r="G15" s="54">
        <f t="shared" si="1"/>
        <v>5.5E-2</v>
      </c>
      <c r="H15" s="54">
        <f t="shared" si="1"/>
        <v>5.5E-2</v>
      </c>
      <c r="I15" s="54">
        <f t="shared" si="1"/>
        <v>5.5E-2</v>
      </c>
      <c r="J15" s="54">
        <f t="shared" si="1"/>
        <v>5.5E-2</v>
      </c>
      <c r="K15" s="54">
        <f t="shared" si="1"/>
        <v>5.5E-2</v>
      </c>
      <c r="L15" s="54">
        <f t="shared" si="1"/>
        <v>5.5E-2</v>
      </c>
      <c r="M15" s="54">
        <f t="shared" si="1"/>
        <v>5.5E-2</v>
      </c>
      <c r="N15" s="54">
        <f t="shared" si="1"/>
        <v>5.5E-2</v>
      </c>
      <c r="O15" s="54">
        <f t="shared" si="1"/>
        <v>5.5E-2</v>
      </c>
      <c r="P15" s="54">
        <f t="shared" si="1"/>
        <v>5.5E-2</v>
      </c>
      <c r="Q15" s="54">
        <f t="shared" si="1"/>
        <v>5.5E-2</v>
      </c>
    </row>
    <row r="16" spans="2:17" ht="15" x14ac:dyDescent="0.25">
      <c r="B16" s="19" t="s">
        <v>32</v>
      </c>
      <c r="C16" s="19" t="s">
        <v>8</v>
      </c>
      <c r="D16" s="64"/>
      <c r="E16" s="55">
        <f>(E14*E10)+(E15*E10)*(1+$C$18)^(E4-1)</f>
        <v>156478.208832</v>
      </c>
      <c r="F16" s="55">
        <f t="shared" ref="F16:Q16" si="2">(F14*F10)+(F15*F10)*(1+$C$18)^(F4-1)</f>
        <v>157203.827489808</v>
      </c>
      <c r="G16" s="55">
        <f t="shared" si="2"/>
        <v>157947.51349427865</v>
      </c>
      <c r="H16" s="55">
        <f t="shared" si="2"/>
        <v>158709.55558016471</v>
      </c>
      <c r="I16" s="55">
        <f t="shared" si="2"/>
        <v>159490.24742536375</v>
      </c>
      <c r="J16" s="55">
        <f t="shared" si="2"/>
        <v>160289.88773449953</v>
      </c>
      <c r="K16" s="55">
        <f t="shared" si="2"/>
        <v>161108.78032391873</v>
      </c>
      <c r="L16" s="55">
        <f t="shared" si="2"/>
        <v>161947.23420812914</v>
      </c>
      <c r="M16" s="55">
        <f t="shared" si="2"/>
        <v>162805.56368770153</v>
      </c>
      <c r="N16" s="55">
        <f t="shared" si="2"/>
        <v>163684.08843866159</v>
      </c>
      <c r="O16" s="55">
        <f t="shared" si="2"/>
        <v>164583.13360339665</v>
      </c>
      <c r="P16" s="55">
        <f t="shared" si="2"/>
        <v>165503.02988310251</v>
      </c>
      <c r="Q16" s="55">
        <f t="shared" si="2"/>
        <v>83222.056815898628</v>
      </c>
    </row>
    <row r="17" spans="2:17" s="56" customFormat="1" x14ac:dyDescent="0.2"/>
    <row r="18" spans="2:17" ht="15" x14ac:dyDescent="0.25">
      <c r="B18" s="19" t="s">
        <v>33</v>
      </c>
      <c r="C18" s="145">
        <f>SCENARIO_AS_IS!C18</f>
        <v>0.02</v>
      </c>
      <c r="D18" s="19" t="s">
        <v>61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2:17" x14ac:dyDescent="0.2">
      <c r="B19" s="23" t="s">
        <v>34</v>
      </c>
      <c r="C19" s="15"/>
      <c r="D19" s="57"/>
      <c r="E19" s="58">
        <f>SCENARIO_AS_IS!E19</f>
        <v>-2488</v>
      </c>
      <c r="F19" s="58">
        <f t="shared" ref="F19:P22" si="3">E19*(1+$C$18)</f>
        <v>-2537.7600000000002</v>
      </c>
      <c r="G19" s="58">
        <f t="shared" si="3"/>
        <v>-2588.5152000000003</v>
      </c>
      <c r="H19" s="58">
        <f t="shared" si="3"/>
        <v>-2640.2855040000004</v>
      </c>
      <c r="I19" s="58">
        <f t="shared" si="3"/>
        <v>-2693.0912140800006</v>
      </c>
      <c r="J19" s="58">
        <f t="shared" si="3"/>
        <v>-2746.9530383616006</v>
      </c>
      <c r="K19" s="58">
        <f t="shared" si="3"/>
        <v>-2801.8920991288328</v>
      </c>
      <c r="L19" s="58">
        <f t="shared" si="3"/>
        <v>-2857.9299411114093</v>
      </c>
      <c r="M19" s="58">
        <f t="shared" si="3"/>
        <v>-2915.0885399336375</v>
      </c>
      <c r="N19" s="58">
        <f t="shared" si="3"/>
        <v>-2973.3903107323104</v>
      </c>
      <c r="O19" s="58">
        <f t="shared" si="3"/>
        <v>-3032.8581169469567</v>
      </c>
      <c r="P19" s="58">
        <f t="shared" si="3"/>
        <v>-3093.5152792858958</v>
      </c>
      <c r="Q19" s="58">
        <f>P19*(1+$C$18)/2</f>
        <v>-1577.692792435807</v>
      </c>
    </row>
    <row r="20" spans="2:17" x14ac:dyDescent="0.2">
      <c r="B20" s="29" t="s">
        <v>35</v>
      </c>
      <c r="C20" s="30"/>
      <c r="D20" s="59"/>
      <c r="E20" s="60">
        <f>SCENARIO_AS_IS!E20</f>
        <v>-22000</v>
      </c>
      <c r="F20" s="60">
        <f t="shared" si="3"/>
        <v>-22440</v>
      </c>
      <c r="G20" s="60">
        <f t="shared" si="3"/>
        <v>-22888.799999999999</v>
      </c>
      <c r="H20" s="60">
        <f t="shared" si="3"/>
        <v>-23346.576000000001</v>
      </c>
      <c r="I20" s="60">
        <f t="shared" si="3"/>
        <v>-23813.507520000003</v>
      </c>
      <c r="J20" s="60">
        <f t="shared" si="3"/>
        <v>-24289.777670400003</v>
      </c>
      <c r="K20" s="60">
        <f t="shared" si="3"/>
        <v>-24775.573223808002</v>
      </c>
      <c r="L20" s="60">
        <f t="shared" si="3"/>
        <v>-25271.084688284162</v>
      </c>
      <c r="M20" s="60">
        <f t="shared" si="3"/>
        <v>-25776.506382049844</v>
      </c>
      <c r="N20" s="60">
        <f t="shared" si="3"/>
        <v>-26292.036509690843</v>
      </c>
      <c r="O20" s="60">
        <f t="shared" si="3"/>
        <v>-26817.87723988466</v>
      </c>
      <c r="P20" s="60">
        <f t="shared" si="3"/>
        <v>-27354.234784682354</v>
      </c>
      <c r="Q20" s="60">
        <f>P20*(1+$C$18)/2</f>
        <v>-13950.659740188001</v>
      </c>
    </row>
    <row r="21" spans="2:17" x14ac:dyDescent="0.2">
      <c r="B21" s="29" t="s">
        <v>36</v>
      </c>
      <c r="C21" s="30"/>
      <c r="D21" s="59"/>
      <c r="E21" s="60">
        <f>SCENARIO_AS_IS!E21</f>
        <v>-15000</v>
      </c>
      <c r="F21" s="60">
        <f>E21*(1+$C$18)</f>
        <v>-15300</v>
      </c>
      <c r="G21" s="60">
        <f t="shared" si="3"/>
        <v>-15606</v>
      </c>
      <c r="H21" s="60">
        <f t="shared" si="3"/>
        <v>-15918.12</v>
      </c>
      <c r="I21" s="60">
        <f t="shared" si="3"/>
        <v>-16236.482400000001</v>
      </c>
      <c r="J21" s="60">
        <f t="shared" si="3"/>
        <v>-16561.212048000001</v>
      </c>
      <c r="K21" s="60">
        <f t="shared" si="3"/>
        <v>-16892.436288960002</v>
      </c>
      <c r="L21" s="60">
        <f t="shared" si="3"/>
        <v>-17230.285014739202</v>
      </c>
      <c r="M21" s="60">
        <f t="shared" si="3"/>
        <v>-17574.890715033987</v>
      </c>
      <c r="N21" s="60">
        <f t="shared" si="3"/>
        <v>-17926.388529334668</v>
      </c>
      <c r="O21" s="60">
        <f t="shared" si="3"/>
        <v>-18284.916299921362</v>
      </c>
      <c r="P21" s="60">
        <f t="shared" si="3"/>
        <v>-18650.614625919789</v>
      </c>
      <c r="Q21" s="60">
        <f>P21*(1+$C$18)/2</f>
        <v>-9511.8134592190927</v>
      </c>
    </row>
    <row r="22" spans="2:17" x14ac:dyDescent="0.2">
      <c r="B22" s="29" t="s">
        <v>40</v>
      </c>
      <c r="C22" s="30"/>
      <c r="D22" s="59"/>
      <c r="E22" s="60">
        <f>SCENARIO_AS_IS!E22</f>
        <v>-2500</v>
      </c>
      <c r="F22" s="60">
        <f>E22*(1+$C$18)</f>
        <v>-2550</v>
      </c>
      <c r="G22" s="60">
        <f t="shared" si="3"/>
        <v>-2601</v>
      </c>
      <c r="H22" s="60">
        <f t="shared" si="3"/>
        <v>-2653.02</v>
      </c>
      <c r="I22" s="60">
        <f t="shared" si="3"/>
        <v>-2706.0803999999998</v>
      </c>
      <c r="J22" s="60">
        <f t="shared" si="3"/>
        <v>-2760.2020079999998</v>
      </c>
      <c r="K22" s="60">
        <f t="shared" si="3"/>
        <v>-2815.40604816</v>
      </c>
      <c r="L22" s="60">
        <f t="shared" si="3"/>
        <v>-2871.7141691232</v>
      </c>
      <c r="M22" s="60">
        <f t="shared" si="3"/>
        <v>-2929.148452505664</v>
      </c>
      <c r="N22" s="60">
        <f t="shared" si="3"/>
        <v>-2987.7314215557772</v>
      </c>
      <c r="O22" s="60">
        <f t="shared" si="3"/>
        <v>-3047.4860499868928</v>
      </c>
      <c r="P22" s="60">
        <f t="shared" si="3"/>
        <v>-3108.4357709866308</v>
      </c>
      <c r="Q22" s="60">
        <f>P22*(1+$C$18)/2</f>
        <v>-1585.3022432031817</v>
      </c>
    </row>
    <row r="23" spans="2:17" ht="15" x14ac:dyDescent="0.25">
      <c r="B23" s="29" t="s">
        <v>60</v>
      </c>
      <c r="C23" s="29"/>
      <c r="D23" s="146">
        <f>SCENARIO_AS_IS!D23</f>
        <v>-130000</v>
      </c>
      <c r="E23" s="61">
        <f>D23/INT(Q4/3)</f>
        <v>-32500</v>
      </c>
      <c r="F23" s="60">
        <f>E23</f>
        <v>-32500</v>
      </c>
      <c r="G23" s="60">
        <f t="shared" ref="G23:I23" si="4">F23</f>
        <v>-32500</v>
      </c>
      <c r="H23" s="60">
        <f t="shared" si="4"/>
        <v>-32500</v>
      </c>
      <c r="I23" s="60">
        <f t="shared" si="4"/>
        <v>-32500</v>
      </c>
      <c r="J23" s="60"/>
      <c r="K23" s="60"/>
      <c r="L23" s="60"/>
      <c r="M23" s="60"/>
      <c r="N23" s="60"/>
      <c r="O23" s="60"/>
      <c r="P23" s="60"/>
      <c r="Q23" s="60"/>
    </row>
    <row r="24" spans="2:17" ht="15" x14ac:dyDescent="0.25">
      <c r="B24" s="29" t="s">
        <v>37</v>
      </c>
      <c r="C24" s="29"/>
      <c r="D24" s="147">
        <f>SCENARIO_AS_IS!D24</f>
        <v>-5.4794520547945202E-2</v>
      </c>
      <c r="E24" s="62">
        <f>$D$24*E16</f>
        <v>-8574.148429150684</v>
      </c>
      <c r="F24" s="60">
        <f>F16*$D$24</f>
        <v>-8613.9083556059177</v>
      </c>
      <c r="G24" s="60">
        <f t="shared" ref="G24:P24" si="5">G16*$D$24</f>
        <v>-8654.6582736591045</v>
      </c>
      <c r="H24" s="60">
        <f t="shared" si="5"/>
        <v>-8696.4140043925872</v>
      </c>
      <c r="I24" s="60">
        <f t="shared" si="5"/>
        <v>-8739.191639745959</v>
      </c>
      <c r="J24" s="60">
        <f t="shared" si="5"/>
        <v>-8783.0075470958636</v>
      </c>
      <c r="K24" s="60">
        <f t="shared" si="5"/>
        <v>-8827.8783739133542</v>
      </c>
      <c r="L24" s="60">
        <f t="shared" si="5"/>
        <v>-8873.8210525002269</v>
      </c>
      <c r="M24" s="60">
        <f t="shared" si="5"/>
        <v>-8920.8528048055632</v>
      </c>
      <c r="N24" s="60">
        <f t="shared" si="5"/>
        <v>-8968.9911473239226</v>
      </c>
      <c r="O24" s="60">
        <f t="shared" si="5"/>
        <v>-9018.2538960765287</v>
      </c>
      <c r="P24" s="60">
        <f t="shared" si="5"/>
        <v>-9068.6591716768489</v>
      </c>
      <c r="Q24" s="60">
        <f>Q16*$D$24/2</f>
        <v>-2280.05635112051</v>
      </c>
    </row>
    <row r="25" spans="2:17" x14ac:dyDescent="0.2">
      <c r="B25" s="29" t="s">
        <v>38</v>
      </c>
      <c r="C25" s="30"/>
      <c r="D25" s="59"/>
      <c r="E25" s="60">
        <f>SCENARIO_AS_IS!E25</f>
        <v>-15000</v>
      </c>
      <c r="F25" s="60">
        <f t="shared" ref="F25:P29" si="6">E25*(1+$C$18)</f>
        <v>-15300</v>
      </c>
      <c r="G25" s="60">
        <f t="shared" si="6"/>
        <v>-15606</v>
      </c>
      <c r="H25" s="60">
        <f t="shared" si="6"/>
        <v>-15918.12</v>
      </c>
      <c r="I25" s="60">
        <f t="shared" si="6"/>
        <v>-16236.482400000001</v>
      </c>
      <c r="J25" s="60">
        <f t="shared" si="6"/>
        <v>-16561.212048000001</v>
      </c>
      <c r="K25" s="60">
        <f t="shared" si="6"/>
        <v>-16892.436288960002</v>
      </c>
      <c r="L25" s="60">
        <f t="shared" si="6"/>
        <v>-17230.285014739202</v>
      </c>
      <c r="M25" s="60">
        <f t="shared" si="6"/>
        <v>-17574.890715033987</v>
      </c>
      <c r="N25" s="60">
        <f t="shared" si="6"/>
        <v>-17926.388529334668</v>
      </c>
      <c r="O25" s="60">
        <f t="shared" si="6"/>
        <v>-18284.916299921362</v>
      </c>
      <c r="P25" s="60">
        <f t="shared" si="6"/>
        <v>-18650.614625919789</v>
      </c>
      <c r="Q25" s="60">
        <f>P25*(1+$C$18)/2</f>
        <v>-9511.8134592190927</v>
      </c>
    </row>
    <row r="26" spans="2:17" x14ac:dyDescent="0.2">
      <c r="B26" s="29" t="s">
        <v>39</v>
      </c>
      <c r="C26" s="30"/>
      <c r="D26" s="59"/>
      <c r="E26" s="60">
        <f>SCENARIO_AS_IS!E26</f>
        <v>-500</v>
      </c>
      <c r="F26" s="60">
        <f t="shared" si="6"/>
        <v>-510</v>
      </c>
      <c r="G26" s="60">
        <f t="shared" si="6"/>
        <v>-520.20000000000005</v>
      </c>
      <c r="H26" s="60">
        <f t="shared" si="6"/>
        <v>-530.60400000000004</v>
      </c>
      <c r="I26" s="60">
        <f t="shared" si="6"/>
        <v>-541.21608000000003</v>
      </c>
      <c r="J26" s="60">
        <f t="shared" si="6"/>
        <v>-552.0404016</v>
      </c>
      <c r="K26" s="60">
        <f t="shared" si="6"/>
        <v>-563.08120963199997</v>
      </c>
      <c r="L26" s="60">
        <f t="shared" si="6"/>
        <v>-574.34283382464002</v>
      </c>
      <c r="M26" s="60">
        <f t="shared" si="6"/>
        <v>-585.82969050113286</v>
      </c>
      <c r="N26" s="60">
        <f t="shared" si="6"/>
        <v>-597.54628431115555</v>
      </c>
      <c r="O26" s="60">
        <f t="shared" si="6"/>
        <v>-609.49720999737872</v>
      </c>
      <c r="P26" s="60">
        <f t="shared" si="6"/>
        <v>-621.68715419732632</v>
      </c>
      <c r="Q26" s="60">
        <f>P26*(1+$C$18)/2</f>
        <v>-317.06044864063642</v>
      </c>
    </row>
    <row r="27" spans="2:17" x14ac:dyDescent="0.2">
      <c r="B27" s="29" t="s">
        <v>41</v>
      </c>
      <c r="C27" s="30"/>
      <c r="D27" s="59"/>
      <c r="E27" s="60">
        <f>SCENARIO_AS_IS!E27</f>
        <v>-7622</v>
      </c>
      <c r="F27" s="60">
        <f t="shared" si="6"/>
        <v>-7774.4400000000005</v>
      </c>
      <c r="G27" s="60">
        <f t="shared" si="6"/>
        <v>-7929.9288000000006</v>
      </c>
      <c r="H27" s="60">
        <f t="shared" si="6"/>
        <v>-8088.5273760000009</v>
      </c>
      <c r="I27" s="60">
        <f t="shared" si="6"/>
        <v>-8250.2979235200019</v>
      </c>
      <c r="J27" s="60">
        <f t="shared" si="6"/>
        <v>-8415.3038819904014</v>
      </c>
      <c r="K27" s="60">
        <f t="shared" si="6"/>
        <v>-8583.6099596302101</v>
      </c>
      <c r="L27" s="60">
        <f t="shared" si="6"/>
        <v>-8755.2821588228144</v>
      </c>
      <c r="M27" s="60">
        <f t="shared" si="6"/>
        <v>-8930.3878019992717</v>
      </c>
      <c r="N27" s="60">
        <f t="shared" si="6"/>
        <v>-9108.995558039258</v>
      </c>
      <c r="O27" s="60">
        <f t="shared" si="6"/>
        <v>-9291.1754692000432</v>
      </c>
      <c r="P27" s="60">
        <f t="shared" si="6"/>
        <v>-9476.9989785840444</v>
      </c>
      <c r="Q27" s="60">
        <f>P27*(1+$C$18)/2</f>
        <v>-4833.2694790778623</v>
      </c>
    </row>
    <row r="28" spans="2:17" x14ac:dyDescent="0.2">
      <c r="B28" s="29" t="s">
        <v>42</v>
      </c>
      <c r="C28" s="30"/>
      <c r="D28" s="59"/>
      <c r="E28" s="60">
        <f>SCENARIO_AS_IS!E28</f>
        <v>-7600</v>
      </c>
      <c r="F28" s="60">
        <f t="shared" si="6"/>
        <v>-7752</v>
      </c>
      <c r="G28" s="60">
        <f t="shared" si="6"/>
        <v>-7907.04</v>
      </c>
      <c r="H28" s="60">
        <f t="shared" si="6"/>
        <v>-8065.1808000000001</v>
      </c>
      <c r="I28" s="60">
        <f t="shared" si="6"/>
        <v>-8226.4844159999993</v>
      </c>
      <c r="J28" s="60">
        <f t="shared" si="6"/>
        <v>-8391.0141043200001</v>
      </c>
      <c r="K28" s="60">
        <f t="shared" si="6"/>
        <v>-8558.8343864064009</v>
      </c>
      <c r="L28" s="60">
        <f t="shared" si="6"/>
        <v>-8730.0110741345288</v>
      </c>
      <c r="M28" s="60">
        <f t="shared" si="6"/>
        <v>-8904.6112956172201</v>
      </c>
      <c r="N28" s="60">
        <f t="shared" si="6"/>
        <v>-9082.7035215295655</v>
      </c>
      <c r="O28" s="60">
        <f t="shared" si="6"/>
        <v>-9264.3575919601572</v>
      </c>
      <c r="P28" s="60">
        <f t="shared" si="6"/>
        <v>-9449.6447437993611</v>
      </c>
      <c r="Q28" s="60">
        <f>P28*(1+$C$18)/2</f>
        <v>-4819.3188193376745</v>
      </c>
    </row>
    <row r="29" spans="2:17" x14ac:dyDescent="0.2">
      <c r="B29" s="29" t="s">
        <v>43</v>
      </c>
      <c r="C29" s="30"/>
      <c r="D29" s="59"/>
      <c r="E29" s="60">
        <f>SCENARIO_AS_IS!E29</f>
        <v>-4500</v>
      </c>
      <c r="F29" s="60">
        <f t="shared" si="6"/>
        <v>-4590</v>
      </c>
      <c r="G29" s="60">
        <f t="shared" ref="G29" si="7">F29*(1+$C$18)</f>
        <v>-4681.8</v>
      </c>
      <c r="H29" s="60">
        <f t="shared" ref="H29" si="8">G29*(1+$C$18)</f>
        <v>-4775.4360000000006</v>
      </c>
      <c r="I29" s="60">
        <f t="shared" ref="I29" si="9">H29*(1+$C$18)</f>
        <v>-4870.9447200000004</v>
      </c>
      <c r="J29" s="60">
        <f t="shared" ref="J29" si="10">I29*(1+$C$18)</f>
        <v>-4968.3636144000002</v>
      </c>
      <c r="K29" s="60">
        <f t="shared" ref="K29" si="11">J29*(1+$C$18)</f>
        <v>-5067.7308866880003</v>
      </c>
      <c r="L29" s="60">
        <f t="shared" ref="L29" si="12">K29*(1+$C$18)</f>
        <v>-5169.0855044217606</v>
      </c>
      <c r="M29" s="60">
        <f t="shared" ref="M29" si="13">L29*(1+$C$18)</f>
        <v>-5272.4672145101958</v>
      </c>
      <c r="N29" s="60">
        <f t="shared" ref="N29" si="14">M29*(1+$C$18)</f>
        <v>-5377.9165588003998</v>
      </c>
      <c r="O29" s="60">
        <f t="shared" ref="O29" si="15">N29*(1+$C$18)</f>
        <v>-5485.4748899764081</v>
      </c>
      <c r="P29" s="60">
        <f t="shared" ref="P29" si="16">O29*(1+$C$18)</f>
        <v>-5595.1843877759366</v>
      </c>
      <c r="Q29" s="60">
        <f t="shared" ref="Q29" si="17">P29*(1+$C$18)</f>
        <v>-5707.0880755314556</v>
      </c>
    </row>
    <row r="30" spans="2:17" x14ac:dyDescent="0.2">
      <c r="B30" s="29" t="s">
        <v>14</v>
      </c>
      <c r="C30" s="30"/>
      <c r="D30" s="59"/>
      <c r="E30" s="60">
        <f>SCENARIO_AS_IS!E30</f>
        <v>0</v>
      </c>
      <c r="F30" s="60">
        <f t="shared" ref="F30:P30" si="18">E30*(1+$C$18)</f>
        <v>0</v>
      </c>
      <c r="G30" s="60">
        <f t="shared" si="18"/>
        <v>0</v>
      </c>
      <c r="H30" s="60">
        <f t="shared" si="18"/>
        <v>0</v>
      </c>
      <c r="I30" s="60">
        <f t="shared" si="18"/>
        <v>0</v>
      </c>
      <c r="J30" s="60">
        <f t="shared" si="18"/>
        <v>0</v>
      </c>
      <c r="K30" s="60">
        <f t="shared" si="18"/>
        <v>0</v>
      </c>
      <c r="L30" s="60">
        <f t="shared" si="18"/>
        <v>0</v>
      </c>
      <c r="M30" s="60">
        <f t="shared" si="18"/>
        <v>0</v>
      </c>
      <c r="N30" s="60">
        <f t="shared" si="18"/>
        <v>0</v>
      </c>
      <c r="O30" s="60">
        <f t="shared" si="18"/>
        <v>0</v>
      </c>
      <c r="P30" s="60">
        <f t="shared" si="18"/>
        <v>0</v>
      </c>
      <c r="Q30" s="60">
        <f>P30*(1+$C$18)/2</f>
        <v>0</v>
      </c>
    </row>
    <row r="31" spans="2:17" x14ac:dyDescent="0.2">
      <c r="B31" s="29" t="s">
        <v>44</v>
      </c>
      <c r="C31" s="30"/>
      <c r="D31" s="59"/>
      <c r="E31" s="60">
        <f>SCENARIO_AS_IS!E31</f>
        <v>-10200</v>
      </c>
      <c r="F31" s="60">
        <f>E31</f>
        <v>-10200</v>
      </c>
      <c r="G31" s="60">
        <f t="shared" ref="G31:P31" si="19">F31</f>
        <v>-10200</v>
      </c>
      <c r="H31" s="60">
        <f t="shared" si="19"/>
        <v>-10200</v>
      </c>
      <c r="I31" s="60">
        <f t="shared" si="19"/>
        <v>-10200</v>
      </c>
      <c r="J31" s="60">
        <f t="shared" si="19"/>
        <v>-10200</v>
      </c>
      <c r="K31" s="60">
        <f t="shared" si="19"/>
        <v>-10200</v>
      </c>
      <c r="L31" s="60">
        <f t="shared" si="19"/>
        <v>-10200</v>
      </c>
      <c r="M31" s="60">
        <f t="shared" si="19"/>
        <v>-10200</v>
      </c>
      <c r="N31" s="60">
        <f t="shared" si="19"/>
        <v>-10200</v>
      </c>
      <c r="O31" s="60">
        <f t="shared" si="19"/>
        <v>-10200</v>
      </c>
      <c r="P31" s="60">
        <f t="shared" si="19"/>
        <v>-10200</v>
      </c>
      <c r="Q31" s="60">
        <f>P31/2</f>
        <v>-5100</v>
      </c>
    </row>
    <row r="32" spans="2:17" ht="15" x14ac:dyDescent="0.25">
      <c r="B32" s="63" t="s">
        <v>45</v>
      </c>
      <c r="C32" s="64" t="s">
        <v>8</v>
      </c>
      <c r="D32" s="65"/>
      <c r="E32" s="66">
        <f>SUM(E19:E31)</f>
        <v>-128484.14842915068</v>
      </c>
      <c r="F32" s="66">
        <f t="shared" ref="F32:Q32" si="20">SUM(F19:F31)</f>
        <v>-130068.10835560593</v>
      </c>
      <c r="G32" s="66">
        <f t="shared" si="20"/>
        <v>-131683.94227365911</v>
      </c>
      <c r="H32" s="66">
        <f t="shared" si="20"/>
        <v>-133332.28368439258</v>
      </c>
      <c r="I32" s="66">
        <f t="shared" si="20"/>
        <v>-135013.77871334596</v>
      </c>
      <c r="J32" s="66">
        <f t="shared" si="20"/>
        <v>-104229.08636216787</v>
      </c>
      <c r="K32" s="66">
        <f t="shared" si="20"/>
        <v>-105978.8787652868</v>
      </c>
      <c r="L32" s="66">
        <f t="shared" si="20"/>
        <v>-107763.84145170114</v>
      </c>
      <c r="M32" s="66">
        <f t="shared" si="20"/>
        <v>-109584.6736119905</v>
      </c>
      <c r="N32" s="66">
        <f t="shared" si="20"/>
        <v>-111442.08837065256</v>
      </c>
      <c r="O32" s="66">
        <f t="shared" si="20"/>
        <v>-113336.81306387176</v>
      </c>
      <c r="P32" s="66">
        <f t="shared" si="20"/>
        <v>-115269.58952282797</v>
      </c>
      <c r="Q32" s="66">
        <f t="shared" si="20"/>
        <v>-59194.074867973322</v>
      </c>
    </row>
    <row r="33" spans="2:17" s="56" customFormat="1" x14ac:dyDescent="0.2"/>
    <row r="34" spans="2:17" s="71" customFormat="1" ht="15.75" x14ac:dyDescent="0.25">
      <c r="B34" s="67" t="s">
        <v>54</v>
      </c>
      <c r="C34" s="68"/>
      <c r="D34" s="69"/>
      <c r="E34" s="70">
        <f>E16+E32</f>
        <v>27994.060402849325</v>
      </c>
      <c r="F34" s="70">
        <f t="shared" ref="F34:Q34" si="21">F16+F32</f>
        <v>27135.719134202067</v>
      </c>
      <c r="G34" s="70">
        <f t="shared" si="21"/>
        <v>26263.571220619546</v>
      </c>
      <c r="H34" s="70">
        <f t="shared" si="21"/>
        <v>25377.271895772137</v>
      </c>
      <c r="I34" s="70">
        <f t="shared" si="21"/>
        <v>24476.468712017784</v>
      </c>
      <c r="J34" s="70">
        <f t="shared" si="21"/>
        <v>56060.801372331654</v>
      </c>
      <c r="K34" s="70">
        <f t="shared" si="21"/>
        <v>55129.901558631929</v>
      </c>
      <c r="L34" s="70">
        <f t="shared" si="21"/>
        <v>54183.392756428002</v>
      </c>
      <c r="M34" s="70">
        <f t="shared" si="21"/>
        <v>53220.890075711039</v>
      </c>
      <c r="N34" s="70">
        <f t="shared" si="21"/>
        <v>52242.000068009031</v>
      </c>
      <c r="O34" s="70">
        <f t="shared" si="21"/>
        <v>51246.320539524895</v>
      </c>
      <c r="P34" s="70">
        <f t="shared" si="21"/>
        <v>50233.440360274544</v>
      </c>
      <c r="Q34" s="70">
        <f t="shared" si="21"/>
        <v>24027.981947925306</v>
      </c>
    </row>
    <row r="35" spans="2:17" ht="18" x14ac:dyDescent="0.25">
      <c r="D35" s="72"/>
    </row>
    <row r="36" spans="2:17" ht="15" x14ac:dyDescent="0.25">
      <c r="B36" s="23" t="s">
        <v>46</v>
      </c>
      <c r="C36" s="15"/>
      <c r="D36" s="57"/>
      <c r="E36" s="73">
        <f>SCENARIO_AS_IS!E36</f>
        <v>-368469.96</v>
      </c>
      <c r="F36" s="73">
        <f>-92117.49*4</f>
        <v>-368469.96</v>
      </c>
      <c r="G36" s="73">
        <f t="shared" ref="G36:K36" si="22">-92117.49*4</f>
        <v>-368469.96</v>
      </c>
      <c r="H36" s="73">
        <f t="shared" si="22"/>
        <v>-368469.96</v>
      </c>
      <c r="I36" s="73">
        <f t="shared" si="22"/>
        <v>-368469.96</v>
      </c>
      <c r="J36" s="73">
        <f t="shared" si="22"/>
        <v>-368469.96</v>
      </c>
      <c r="K36" s="73">
        <f t="shared" si="22"/>
        <v>-368469.96</v>
      </c>
      <c r="L36" s="73">
        <f>-92117.49*3-30000</f>
        <v>-306352.47000000003</v>
      </c>
      <c r="M36" s="58"/>
      <c r="N36" s="58"/>
      <c r="O36" s="58"/>
      <c r="P36" s="58"/>
      <c r="Q36" s="58"/>
    </row>
    <row r="37" spans="2:17" x14ac:dyDescent="0.2">
      <c r="B37" s="74"/>
      <c r="C37" s="75"/>
      <c r="D37" s="76"/>
      <c r="E37" s="77"/>
      <c r="F37" s="77"/>
      <c r="G37" s="77">
        <f t="shared" ref="G37:Q37" si="23">F37</f>
        <v>0</v>
      </c>
      <c r="H37" s="77">
        <f t="shared" si="23"/>
        <v>0</v>
      </c>
      <c r="I37" s="77">
        <f t="shared" si="23"/>
        <v>0</v>
      </c>
      <c r="J37" s="77">
        <f t="shared" si="23"/>
        <v>0</v>
      </c>
      <c r="K37" s="77">
        <f t="shared" si="23"/>
        <v>0</v>
      </c>
      <c r="L37" s="77">
        <f t="shared" si="23"/>
        <v>0</v>
      </c>
      <c r="M37" s="77">
        <f t="shared" si="23"/>
        <v>0</v>
      </c>
      <c r="N37" s="77">
        <f t="shared" si="23"/>
        <v>0</v>
      </c>
      <c r="O37" s="77">
        <f t="shared" si="23"/>
        <v>0</v>
      </c>
      <c r="P37" s="77">
        <f t="shared" si="23"/>
        <v>0</v>
      </c>
      <c r="Q37" s="77">
        <f t="shared" si="23"/>
        <v>0</v>
      </c>
    </row>
    <row r="38" spans="2:17" ht="18" x14ac:dyDescent="0.25">
      <c r="D38" s="72"/>
    </row>
    <row r="39" spans="2:17" s="71" customFormat="1" ht="15.75" x14ac:dyDescent="0.25">
      <c r="B39" s="67" t="s">
        <v>47</v>
      </c>
      <c r="C39" s="68"/>
      <c r="D39" s="69"/>
      <c r="E39" s="70">
        <f>E34+E36+E37</f>
        <v>-340475.89959715068</v>
      </c>
      <c r="F39" s="70">
        <f t="shared" ref="F39:Q39" si="24">F34+F36+F37</f>
        <v>-341334.24086579797</v>
      </c>
      <c r="G39" s="70">
        <f t="shared" si="24"/>
        <v>-342206.38877938048</v>
      </c>
      <c r="H39" s="70">
        <f t="shared" si="24"/>
        <v>-343092.68810422788</v>
      </c>
      <c r="I39" s="70">
        <f t="shared" si="24"/>
        <v>-343993.49128798221</v>
      </c>
      <c r="J39" s="70">
        <f t="shared" si="24"/>
        <v>-312409.1586276684</v>
      </c>
      <c r="K39" s="70">
        <f t="shared" si="24"/>
        <v>-313340.05844136811</v>
      </c>
      <c r="L39" s="70">
        <f t="shared" si="24"/>
        <v>-252169.07724357204</v>
      </c>
      <c r="M39" s="70">
        <f t="shared" si="24"/>
        <v>53220.890075711039</v>
      </c>
      <c r="N39" s="70">
        <f t="shared" si="24"/>
        <v>52242.000068009031</v>
      </c>
      <c r="O39" s="70">
        <f t="shared" si="24"/>
        <v>51246.320539524895</v>
      </c>
      <c r="P39" s="70">
        <f t="shared" si="24"/>
        <v>50233.440360274544</v>
      </c>
      <c r="Q39" s="70">
        <f t="shared" si="24"/>
        <v>24027.981947925306</v>
      </c>
    </row>
    <row r="40" spans="2:17" ht="18" x14ac:dyDescent="0.25">
      <c r="D40" s="72"/>
    </row>
    <row r="41" spans="2:17" x14ac:dyDescent="0.2">
      <c r="B41" s="23" t="s">
        <v>10</v>
      </c>
      <c r="C41" s="15"/>
      <c r="D41" s="78">
        <v>0</v>
      </c>
      <c r="E41" s="58">
        <f>IF(E39&lt;=0,0,-E39*$D$41)</f>
        <v>0</v>
      </c>
      <c r="F41" s="58">
        <f t="shared" ref="F41:Q41" si="25">IF(F39&lt;=0,0,-F39*$D$41)</f>
        <v>0</v>
      </c>
      <c r="G41" s="58">
        <f t="shared" si="25"/>
        <v>0</v>
      </c>
      <c r="H41" s="58">
        <f t="shared" si="25"/>
        <v>0</v>
      </c>
      <c r="I41" s="58">
        <f t="shared" si="25"/>
        <v>0</v>
      </c>
      <c r="J41" s="58">
        <f t="shared" si="25"/>
        <v>0</v>
      </c>
      <c r="K41" s="58">
        <f t="shared" si="25"/>
        <v>0</v>
      </c>
      <c r="L41" s="58">
        <f t="shared" si="25"/>
        <v>0</v>
      </c>
      <c r="M41" s="58">
        <f t="shared" si="25"/>
        <v>0</v>
      </c>
      <c r="N41" s="58">
        <f t="shared" si="25"/>
        <v>0</v>
      </c>
      <c r="O41" s="58">
        <f t="shared" si="25"/>
        <v>0</v>
      </c>
      <c r="P41" s="58">
        <f t="shared" si="25"/>
        <v>0</v>
      </c>
      <c r="Q41" s="58">
        <f t="shared" si="25"/>
        <v>0</v>
      </c>
    </row>
    <row r="42" spans="2:17" x14ac:dyDescent="0.2">
      <c r="B42" s="74" t="s">
        <v>11</v>
      </c>
      <c r="C42" s="75"/>
      <c r="D42" s="79">
        <v>0</v>
      </c>
      <c r="E42" s="77">
        <f>IF(E39&lt;=0,0,-E39*$D$42)</f>
        <v>0</v>
      </c>
      <c r="F42" s="77">
        <f t="shared" ref="F42:Q42" si="26">IF(F39&lt;=0,0,-F39*$D$42)</f>
        <v>0</v>
      </c>
      <c r="G42" s="77">
        <f t="shared" si="26"/>
        <v>0</v>
      </c>
      <c r="H42" s="77">
        <f t="shared" si="26"/>
        <v>0</v>
      </c>
      <c r="I42" s="77">
        <f t="shared" si="26"/>
        <v>0</v>
      </c>
      <c r="J42" s="77">
        <f t="shared" si="26"/>
        <v>0</v>
      </c>
      <c r="K42" s="77">
        <f t="shared" si="26"/>
        <v>0</v>
      </c>
      <c r="L42" s="77">
        <f t="shared" si="26"/>
        <v>0</v>
      </c>
      <c r="M42" s="77">
        <f t="shared" si="26"/>
        <v>0</v>
      </c>
      <c r="N42" s="77">
        <f t="shared" si="26"/>
        <v>0</v>
      </c>
      <c r="O42" s="77">
        <f t="shared" si="26"/>
        <v>0</v>
      </c>
      <c r="P42" s="77">
        <f t="shared" si="26"/>
        <v>0</v>
      </c>
      <c r="Q42" s="77">
        <f t="shared" si="26"/>
        <v>0</v>
      </c>
    </row>
    <row r="43" spans="2:17" ht="18" x14ac:dyDescent="0.25">
      <c r="D43" s="72"/>
    </row>
    <row r="44" spans="2:17" s="71" customFormat="1" ht="15.75" x14ac:dyDescent="0.25">
      <c r="B44" s="67" t="s">
        <v>48</v>
      </c>
      <c r="C44" s="68"/>
      <c r="D44" s="69"/>
      <c r="E44" s="70">
        <f>E39+E41+E42</f>
        <v>-340475.89959715068</v>
      </c>
      <c r="F44" s="70">
        <f t="shared" ref="F44:Q44" si="27">F39+F41+F42</f>
        <v>-341334.24086579797</v>
      </c>
      <c r="G44" s="70">
        <f t="shared" si="27"/>
        <v>-342206.38877938048</v>
      </c>
      <c r="H44" s="70">
        <f t="shared" si="27"/>
        <v>-343092.68810422788</v>
      </c>
      <c r="I44" s="70">
        <f t="shared" si="27"/>
        <v>-343993.49128798221</v>
      </c>
      <c r="J44" s="70">
        <f t="shared" si="27"/>
        <v>-312409.1586276684</v>
      </c>
      <c r="K44" s="70">
        <f t="shared" si="27"/>
        <v>-313340.05844136811</v>
      </c>
      <c r="L44" s="70">
        <f t="shared" si="27"/>
        <v>-252169.07724357204</v>
      </c>
      <c r="M44" s="70">
        <f t="shared" si="27"/>
        <v>53220.890075711039</v>
      </c>
      <c r="N44" s="70">
        <f t="shared" si="27"/>
        <v>52242.000068009031</v>
      </c>
      <c r="O44" s="70">
        <f t="shared" si="27"/>
        <v>51246.320539524895</v>
      </c>
      <c r="P44" s="70">
        <f t="shared" si="27"/>
        <v>50233.440360274544</v>
      </c>
      <c r="Q44" s="70">
        <f t="shared" si="27"/>
        <v>24027.981947925306</v>
      </c>
    </row>
    <row r="45" spans="2:17" ht="18" x14ac:dyDescent="0.25">
      <c r="D45" s="72"/>
    </row>
    <row r="46" spans="2:17" s="71" customFormat="1" ht="15.75" x14ac:dyDescent="0.25">
      <c r="B46" s="67" t="s">
        <v>51</v>
      </c>
      <c r="C46" s="68"/>
      <c r="D46" s="69"/>
      <c r="E46" s="70">
        <f t="shared" ref="E46:Q46" si="28">E44/((1+$C$2)^E4)</f>
        <v>-330559.1258224764</v>
      </c>
      <c r="F46" s="70">
        <f t="shared" si="28"/>
        <v>-321740.25908737676</v>
      </c>
      <c r="G46" s="70">
        <f t="shared" si="28"/>
        <v>-313167.32246881467</v>
      </c>
      <c r="H46" s="70">
        <f t="shared" si="28"/>
        <v>-304833.40961518366</v>
      </c>
      <c r="I46" s="70">
        <f t="shared" si="28"/>
        <v>-296731.80735599087</v>
      </c>
      <c r="J46" s="70">
        <f t="shared" si="28"/>
        <v>-261637.75199445875</v>
      </c>
      <c r="K46" s="70">
        <f t="shared" si="28"/>
        <v>-254774.14168250677</v>
      </c>
      <c r="L46" s="70">
        <f t="shared" si="28"/>
        <v>-199064.59818449992</v>
      </c>
      <c r="M46" s="70">
        <f t="shared" si="28"/>
        <v>40789.380664245822</v>
      </c>
      <c r="N46" s="70">
        <f t="shared" si="28"/>
        <v>38872.954352639827</v>
      </c>
      <c r="O46" s="70">
        <f t="shared" si="28"/>
        <v>37021.43230515295</v>
      </c>
      <c r="P46" s="70">
        <f t="shared" si="28"/>
        <v>35232.724381570224</v>
      </c>
      <c r="Q46" s="70">
        <f t="shared" si="28"/>
        <v>16361.886504771626</v>
      </c>
    </row>
    <row r="47" spans="2:17" ht="18" x14ac:dyDescent="0.25">
      <c r="D47" s="72"/>
      <c r="E47" s="9">
        <f>IF(E46&lt;0,1,0)</f>
        <v>1</v>
      </c>
      <c r="F47" s="9">
        <f t="shared" ref="F47:Q47" si="29">IF(F46&lt;0,1,0)</f>
        <v>1</v>
      </c>
      <c r="G47" s="9">
        <f t="shared" si="29"/>
        <v>1</v>
      </c>
      <c r="H47" s="9">
        <f t="shared" si="29"/>
        <v>1</v>
      </c>
      <c r="I47" s="9">
        <f t="shared" si="29"/>
        <v>1</v>
      </c>
      <c r="J47" s="9">
        <f t="shared" si="29"/>
        <v>1</v>
      </c>
      <c r="K47" s="9">
        <f t="shared" si="29"/>
        <v>1</v>
      </c>
      <c r="L47" s="9">
        <f t="shared" si="29"/>
        <v>1</v>
      </c>
      <c r="M47" s="9">
        <f t="shared" si="29"/>
        <v>0</v>
      </c>
      <c r="N47" s="9">
        <f t="shared" si="29"/>
        <v>0</v>
      </c>
      <c r="O47" s="9">
        <f t="shared" si="29"/>
        <v>0</v>
      </c>
      <c r="P47" s="9">
        <f t="shared" si="29"/>
        <v>0</v>
      </c>
      <c r="Q47" s="9">
        <f t="shared" si="29"/>
        <v>0</v>
      </c>
    </row>
    <row r="48" spans="2:17" ht="18" x14ac:dyDescent="0.25">
      <c r="D48" s="72"/>
      <c r="E48" s="11">
        <f>E47*E44</f>
        <v>-340475.89959715068</v>
      </c>
      <c r="F48" s="11">
        <f t="shared" ref="F48:Q48" si="30">F47*F44</f>
        <v>-341334.24086579797</v>
      </c>
      <c r="G48" s="11">
        <f t="shared" si="30"/>
        <v>-342206.38877938048</v>
      </c>
      <c r="H48" s="11">
        <f t="shared" si="30"/>
        <v>-343092.68810422788</v>
      </c>
      <c r="I48" s="11">
        <f t="shared" si="30"/>
        <v>-343993.49128798221</v>
      </c>
      <c r="J48" s="11">
        <f t="shared" si="30"/>
        <v>-312409.1586276684</v>
      </c>
      <c r="K48" s="11">
        <f t="shared" si="30"/>
        <v>-313340.05844136811</v>
      </c>
      <c r="L48" s="11">
        <f t="shared" si="30"/>
        <v>-252169.07724357204</v>
      </c>
      <c r="M48" s="11">
        <f t="shared" si="30"/>
        <v>0</v>
      </c>
      <c r="N48" s="11">
        <f t="shared" si="30"/>
        <v>0</v>
      </c>
      <c r="O48" s="11">
        <f t="shared" si="30"/>
        <v>0</v>
      </c>
      <c r="P48" s="11">
        <f t="shared" si="30"/>
        <v>0</v>
      </c>
      <c r="Q48" s="11">
        <f t="shared" si="30"/>
        <v>0</v>
      </c>
    </row>
    <row r="49" spans="2:4" ht="18" x14ac:dyDescent="0.25">
      <c r="D49" s="72"/>
    </row>
    <row r="50" spans="2:4" ht="18" x14ac:dyDescent="0.25">
      <c r="B50" s="148" t="s">
        <v>52</v>
      </c>
      <c r="C50" s="149">
        <f>SUM(E46:Q46)</f>
        <v>-2114230.0380029278</v>
      </c>
      <c r="D50" s="72"/>
    </row>
    <row r="51" spans="2:4" ht="18" x14ac:dyDescent="0.25">
      <c r="B51" s="148" t="s">
        <v>63</v>
      </c>
      <c r="C51" s="149">
        <f>MIN(E44:Q44)</f>
        <v>-343993.49128798221</v>
      </c>
      <c r="D51" s="72"/>
    </row>
    <row r="52" spans="2:4" ht="18" x14ac:dyDescent="0.25">
      <c r="B52" s="148" t="s">
        <v>64</v>
      </c>
      <c r="C52" s="150">
        <f>SUM(E47:Q47)</f>
        <v>8</v>
      </c>
      <c r="D52" s="72"/>
    </row>
    <row r="53" spans="2:4" ht="18" x14ac:dyDescent="0.25">
      <c r="B53" s="148" t="s">
        <v>65</v>
      </c>
      <c r="C53" s="150">
        <f>SUM(E48:Q48)</f>
        <v>-2589021.0029471475</v>
      </c>
      <c r="D53" s="72"/>
    </row>
    <row r="54" spans="2:4" ht="18" x14ac:dyDescent="0.25">
      <c r="D54" s="72"/>
    </row>
    <row r="55" spans="2:4" ht="18" x14ac:dyDescent="0.25">
      <c r="D55" s="72"/>
    </row>
  </sheetData>
  <sheetProtection password="B0F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zoomScale="90" zoomScaleNormal="90" workbookViewId="0">
      <selection activeCell="B5" sqref="B5"/>
    </sheetView>
  </sheetViews>
  <sheetFormatPr defaultRowHeight="15" x14ac:dyDescent="0.25"/>
  <cols>
    <col min="1" max="1" width="49.28515625" style="154" bestFit="1" customWidth="1"/>
    <col min="2" max="2" width="35.42578125" style="154" bestFit="1" customWidth="1"/>
    <col min="3" max="3" width="9.140625" style="154"/>
    <col min="4" max="11" width="14.5703125" style="154" customWidth="1"/>
    <col min="12" max="16384" width="9.140625" style="154"/>
  </cols>
  <sheetData>
    <row r="1" spans="1:11" ht="15.75" thickBot="1" x14ac:dyDescent="0.3">
      <c r="A1" s="153" t="s">
        <v>75</v>
      </c>
    </row>
    <row r="2" spans="1:11" x14ac:dyDescent="0.25">
      <c r="D2" s="155" t="s">
        <v>68</v>
      </c>
      <c r="E2" s="156">
        <v>2012</v>
      </c>
      <c r="F2" s="157">
        <v>2013</v>
      </c>
      <c r="G2" s="157">
        <v>2014</v>
      </c>
      <c r="H2" s="157">
        <v>2015</v>
      </c>
      <c r="I2" s="157">
        <v>2016</v>
      </c>
      <c r="J2" s="157">
        <v>2017</v>
      </c>
      <c r="K2" s="157">
        <v>2018</v>
      </c>
    </row>
    <row r="3" spans="1:11" ht="15.75" thickBot="1" x14ac:dyDescent="0.3">
      <c r="A3" s="158" t="s">
        <v>67</v>
      </c>
      <c r="B3" s="159">
        <f>-0.443*D3</f>
        <v>-3134709.3603258333</v>
      </c>
      <c r="D3" s="160">
        <f>SUM(E3:K3)</f>
        <v>7076093.3641666668</v>
      </c>
      <c r="E3" s="161">
        <v>1099046.93</v>
      </c>
      <c r="F3" s="162">
        <v>1085392.8500000001</v>
      </c>
      <c r="G3" s="162">
        <v>1099274.6599999999</v>
      </c>
      <c r="H3" s="162">
        <v>982450.05</v>
      </c>
      <c r="I3" s="162">
        <v>1102534</v>
      </c>
      <c r="J3" s="162">
        <v>1163080</v>
      </c>
      <c r="K3" s="162">
        <f>AVERAGE(E3:J3)/2</f>
        <v>544314.87416666665</v>
      </c>
    </row>
    <row r="4" spans="1:11" x14ac:dyDescent="0.25">
      <c r="A4" s="158" t="s">
        <v>69</v>
      </c>
      <c r="B4" s="159">
        <f>SUM(SCENARIO_AS_IS!E36:L36)</f>
        <v>-2885642.1900000004</v>
      </c>
    </row>
    <row r="5" spans="1:11" x14ac:dyDescent="0.25">
      <c r="A5" s="163" t="s">
        <v>70</v>
      </c>
      <c r="B5" s="164">
        <f>B3+B4</f>
        <v>-6020351.5503258333</v>
      </c>
    </row>
    <row r="7" spans="1:11" x14ac:dyDescent="0.25">
      <c r="A7" s="158" t="s">
        <v>46</v>
      </c>
      <c r="B7" s="159">
        <f>SCENARIO_AS_IS!E36</f>
        <v>-368469.96</v>
      </c>
    </row>
    <row r="8" spans="1:11" x14ac:dyDescent="0.25">
      <c r="A8" s="163" t="s">
        <v>76</v>
      </c>
      <c r="B8" s="165">
        <f>B3+B7</f>
        <v>-3503179.3203258333</v>
      </c>
    </row>
  </sheetData>
  <sheetProtection password="B0F1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SCENARIO_AS_IS</vt:lpstr>
      <vt:lpstr>INVESTITORE</vt:lpstr>
      <vt:lpstr>SCENARIO_RIDUZIONE_20%</vt:lpstr>
      <vt:lpstr>SCENARIO_RIDUZIONE_80%</vt:lpstr>
      <vt:lpstr>SCENARIO_REVOCA</vt:lpstr>
      <vt:lpstr>INVESTITORE!Area_stampa</vt:lpstr>
      <vt:lpstr>SCENARIO_AS_IS!Area_stampa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d.battesti</dc:creator>
  <cp:lastModifiedBy>Davide Guidorzi</cp:lastModifiedBy>
  <cp:lastPrinted>2018-07-07T14:58:37Z</cp:lastPrinted>
  <dcterms:created xsi:type="dcterms:W3CDTF">2014-10-22T13:06:48Z</dcterms:created>
  <dcterms:modified xsi:type="dcterms:W3CDTF">2018-10-23T15:26:42Z</dcterms:modified>
</cp:coreProperties>
</file>